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D:\Desktop\PLAN DE TRABAJO 2025 GESTIÓN DE RIESGOS\9. SICOF\"/>
    </mc:Choice>
  </mc:AlternateContent>
  <bookViews>
    <workbookView xWindow="0" yWindow="0" windowWidth="24000" windowHeight="9735" tabRatio="712" activeTab="1"/>
  </bookViews>
  <sheets>
    <sheet name="Intructivo" sheetId="20" r:id="rId1"/>
    <sheet name="Matriz final" sheetId="1" r:id="rId2"/>
    <sheet name="MAPA DE RIESGO INHERENTE" sheetId="21" r:id="rId3"/>
    <sheet name="Matriz Calor Inherente" sheetId="18" state="hidden" r:id="rId4"/>
    <sheet name="MAPA DE RIESGO RESIDUAL" sheetId="22"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52511"/>
  <pivotCaches>
    <pivotCache cacheId="7"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1" l="1"/>
  <c r="I30" i="1" s="1"/>
  <c r="H31" i="1"/>
  <c r="I31" i="1" s="1"/>
  <c r="H32" i="1"/>
  <c r="I32" i="1" s="1"/>
  <c r="H33" i="1"/>
  <c r="I33" i="1" s="1"/>
  <c r="H34" i="1"/>
  <c r="I34" i="1" s="1"/>
  <c r="H21" i="1" l="1"/>
  <c r="I21" i="1" s="1"/>
  <c r="H22" i="1"/>
  <c r="I22" i="1" s="1"/>
  <c r="H23" i="1"/>
  <c r="I23" i="1" s="1"/>
  <c r="H24" i="1"/>
  <c r="I24" i="1" s="1"/>
  <c r="H25" i="1"/>
  <c r="I25" i="1" s="1"/>
  <c r="H26" i="1"/>
  <c r="I26" i="1" s="1"/>
  <c r="H27" i="1"/>
  <c r="I27" i="1" s="1"/>
  <c r="H28" i="1"/>
  <c r="I28" i="1" s="1"/>
  <c r="H18" i="1"/>
  <c r="I18" i="1" s="1"/>
  <c r="H19" i="1"/>
  <c r="I19" i="1" s="1"/>
  <c r="H20" i="1"/>
  <c r="I20" i="1" s="1"/>
  <c r="H13" i="1" l="1"/>
  <c r="H14" i="1"/>
  <c r="H15" i="1"/>
  <c r="H16"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I16" i="1" l="1"/>
  <c r="I15" i="1"/>
  <c r="I14" i="1"/>
  <c r="I13" i="1"/>
  <c r="H54" i="1"/>
  <c r="I54" i="1" s="1"/>
  <c r="H55" i="1"/>
  <c r="I55" i="1" s="1"/>
  <c r="H56" i="1"/>
  <c r="I56" i="1" s="1"/>
  <c r="H57" i="1"/>
  <c r="I57" i="1" s="1"/>
  <c r="H58" i="1"/>
  <c r="I58" i="1" s="1"/>
  <c r="H60" i="1"/>
  <c r="I60" i="1" s="1"/>
  <c r="H61" i="1"/>
  <c r="I61" i="1" s="1"/>
  <c r="H62" i="1"/>
  <c r="I62" i="1" s="1"/>
  <c r="H63" i="1"/>
  <c r="I63" i="1" s="1"/>
  <c r="H64" i="1"/>
  <c r="I64" i="1" s="1"/>
  <c r="Q12" i="1" l="1"/>
  <c r="Q13" i="1"/>
  <c r="X13" i="1" s="1"/>
  <c r="Q14" i="1"/>
  <c r="X14" i="1" s="1"/>
  <c r="Q15" i="1"/>
  <c r="Q16" i="1"/>
  <c r="X16" i="1" l="1"/>
  <c r="X15" i="1"/>
  <c r="Y13" i="1"/>
  <c r="T12" i="1"/>
  <c r="H12" i="1"/>
  <c r="I12" i="1" s="1"/>
  <c r="Y15" i="1" l="1"/>
  <c r="Z15" i="1"/>
  <c r="Y16" i="1"/>
  <c r="Z16" i="1"/>
  <c r="Y14" i="1"/>
  <c r="Z14" i="1"/>
  <c r="Z13" i="1"/>
  <c r="X12" i="1"/>
  <c r="F221" i="13"/>
  <c r="F211" i="13"/>
  <c r="F212" i="13"/>
  <c r="F213" i="13"/>
  <c r="F214" i="13"/>
  <c r="F215" i="13"/>
  <c r="F216" i="13"/>
  <c r="F217" i="13"/>
  <c r="F218" i="13"/>
  <c r="F219" i="13"/>
  <c r="F220" i="13"/>
  <c r="F210" i="13"/>
  <c r="K56" i="1"/>
  <c r="K36" i="1"/>
  <c r="K26" i="1"/>
  <c r="K45" i="1"/>
  <c r="K42" i="1"/>
  <c r="K55" i="1"/>
  <c r="B221" i="13" a="1"/>
  <c r="K25" i="1"/>
  <c r="K21" i="1"/>
  <c r="K48" i="1"/>
  <c r="K52" i="1"/>
  <c r="K62" i="1"/>
  <c r="K63" i="1"/>
  <c r="K39" i="1"/>
  <c r="K60" i="1"/>
  <c r="K61" i="1"/>
  <c r="K51" i="1"/>
  <c r="K43" i="1"/>
  <c r="K18" i="1"/>
  <c r="K28" i="1"/>
  <c r="K50" i="1"/>
  <c r="K46" i="1"/>
  <c r="K54" i="1"/>
  <c r="K20" i="1"/>
  <c r="K49" i="1"/>
  <c r="K24" i="1"/>
  <c r="K38" i="1"/>
  <c r="K22" i="1"/>
  <c r="K57" i="1"/>
  <c r="K44" i="1"/>
  <c r="K27" i="1"/>
  <c r="K64" i="1"/>
  <c r="K37" i="1"/>
  <c r="K58" i="1"/>
  <c r="K19" i="1"/>
  <c r="K40" i="1"/>
  <c r="L24" i="1" l="1"/>
  <c r="L28" i="1"/>
  <c r="L26" i="1"/>
  <c r="L27" i="1"/>
  <c r="L25" i="1"/>
  <c r="L21" i="1"/>
  <c r="N21" i="1" s="1"/>
  <c r="L18" i="1"/>
  <c r="L20" i="1"/>
  <c r="L19" i="1"/>
  <c r="L22" i="1"/>
  <c r="N22" i="1" s="1"/>
  <c r="L58" i="1"/>
  <c r="L56" i="1"/>
  <c r="L57" i="1"/>
  <c r="L54" i="1"/>
  <c r="L55" i="1"/>
  <c r="L61" i="1"/>
  <c r="N61" i="1" s="1"/>
  <c r="L62" i="1"/>
  <c r="N62" i="1" s="1"/>
  <c r="L64" i="1"/>
  <c r="N64" i="1" s="1"/>
  <c r="L63" i="1"/>
  <c r="N63" i="1" s="1"/>
  <c r="L60" i="1"/>
  <c r="N60" i="1" s="1"/>
  <c r="Z12" i="1"/>
  <c r="Y12" i="1"/>
  <c r="B221" i="13"/>
  <c r="Q47" i="1"/>
  <c r="AB47" i="1" s="1"/>
  <c r="AA47" i="1" s="1"/>
  <c r="Q42" i="1"/>
  <c r="AB42" i="1" s="1"/>
  <c r="AA42" i="1" s="1"/>
  <c r="Q36" i="1"/>
  <c r="AB36" i="1" s="1"/>
  <c r="AA36" i="1" s="1"/>
  <c r="M27" i="1" l="1"/>
  <c r="N27" i="1"/>
  <c r="M26" i="1"/>
  <c r="N26" i="1"/>
  <c r="M28" i="1"/>
  <c r="N28" i="1"/>
  <c r="M25" i="1"/>
  <c r="N25" i="1"/>
  <c r="M24" i="1"/>
  <c r="N24" i="1"/>
  <c r="M19" i="1"/>
  <c r="N19" i="1"/>
  <c r="M20" i="1"/>
  <c r="N20" i="1"/>
  <c r="M18" i="1"/>
  <c r="N18" i="1"/>
  <c r="M22" i="1"/>
  <c r="M21" i="1"/>
  <c r="N54" i="1"/>
  <c r="M54" i="1"/>
  <c r="N57" i="1"/>
  <c r="M57" i="1"/>
  <c r="N56" i="1"/>
  <c r="M56" i="1"/>
  <c r="N55" i="1"/>
  <c r="M55" i="1"/>
  <c r="N58" i="1"/>
  <c r="M58"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4" i="1" l="1"/>
  <c r="Q64" i="1"/>
  <c r="T63" i="1"/>
  <c r="Q63" i="1"/>
  <c r="T62" i="1"/>
  <c r="Q62" i="1"/>
  <c r="T61" i="1"/>
  <c r="Q61" i="1"/>
  <c r="T60" i="1"/>
  <c r="Q60" i="1"/>
  <c r="T59" i="1"/>
  <c r="Q59" i="1"/>
  <c r="H59" i="1"/>
  <c r="I59" i="1" s="1"/>
  <c r="T58" i="1"/>
  <c r="Q58" i="1"/>
  <c r="T57" i="1"/>
  <c r="Q57" i="1"/>
  <c r="T56" i="1"/>
  <c r="Q56" i="1"/>
  <c r="T55" i="1"/>
  <c r="Q55" i="1"/>
  <c r="T54" i="1"/>
  <c r="Q54" i="1"/>
  <c r="T53" i="1"/>
  <c r="Q53" i="1"/>
  <c r="H53" i="1"/>
  <c r="I53" i="1" s="1"/>
  <c r="Q52" i="1"/>
  <c r="AB52" i="1" s="1"/>
  <c r="AA52" i="1" s="1"/>
  <c r="Q51" i="1"/>
  <c r="AB51" i="1" s="1"/>
  <c r="AA51" i="1" s="1"/>
  <c r="Q50" i="1"/>
  <c r="AB50" i="1" s="1"/>
  <c r="AA50" i="1" s="1"/>
  <c r="Q49" i="1"/>
  <c r="AB49" i="1" s="1"/>
  <c r="AA49" i="1" s="1"/>
  <c r="Q48" i="1"/>
  <c r="AB48" i="1" s="1"/>
  <c r="AA48" i="1" s="1"/>
  <c r="H47" i="1"/>
  <c r="I47" i="1" s="1"/>
  <c r="Q46" i="1"/>
  <c r="AB46" i="1" s="1"/>
  <c r="AA46" i="1" s="1"/>
  <c r="Q45" i="1"/>
  <c r="AB45" i="1" s="1"/>
  <c r="AA45" i="1" s="1"/>
  <c r="Q44" i="1"/>
  <c r="AB44" i="1" s="1"/>
  <c r="AA44" i="1" s="1"/>
  <c r="Q43" i="1"/>
  <c r="AB43" i="1" s="1"/>
  <c r="AA43" i="1" s="1"/>
  <c r="Q41" i="1"/>
  <c r="AB41" i="1" s="1"/>
  <c r="AA41" i="1" s="1"/>
  <c r="H41" i="1"/>
  <c r="I41" i="1" s="1"/>
  <c r="Q40" i="1"/>
  <c r="AB40" i="1" s="1"/>
  <c r="AA40" i="1" s="1"/>
  <c r="Q39" i="1"/>
  <c r="AB39" i="1" s="1"/>
  <c r="AA39" i="1" s="1"/>
  <c r="Q38" i="1"/>
  <c r="AB38" i="1" s="1"/>
  <c r="AA38" i="1" s="1"/>
  <c r="Q37" i="1"/>
  <c r="AB37" i="1" s="1"/>
  <c r="AA37" i="1" s="1"/>
  <c r="Q35" i="1"/>
  <c r="AB35" i="1" s="1"/>
  <c r="AA35" i="1" s="1"/>
  <c r="H35" i="1"/>
  <c r="I35" i="1" s="1"/>
  <c r="Q34" i="1"/>
  <c r="AB34" i="1" s="1"/>
  <c r="AA34" i="1" s="1"/>
  <c r="Q33" i="1"/>
  <c r="AB33" i="1" s="1"/>
  <c r="AA33" i="1" s="1"/>
  <c r="Q32" i="1"/>
  <c r="AB32" i="1" s="1"/>
  <c r="AA32" i="1" s="1"/>
  <c r="Q31" i="1"/>
  <c r="AB31" i="1" s="1"/>
  <c r="AA31" i="1" s="1"/>
  <c r="Q30" i="1"/>
  <c r="AB30" i="1" s="1"/>
  <c r="AA30" i="1" s="1"/>
  <c r="Q29" i="1"/>
  <c r="H29" i="1"/>
  <c r="I29" i="1" s="1"/>
  <c r="Q28" i="1"/>
  <c r="X28" i="1" s="1"/>
  <c r="Q27" i="1"/>
  <c r="X27" i="1" s="1"/>
  <c r="Q26" i="1"/>
  <c r="Q25" i="1"/>
  <c r="Q24" i="1"/>
  <c r="Q23" i="1"/>
  <c r="X23" i="1" s="1"/>
  <c r="Q22" i="1"/>
  <c r="Q21" i="1"/>
  <c r="Q20" i="1"/>
  <c r="X20" i="1" s="1"/>
  <c r="Q19" i="1"/>
  <c r="Q18" i="1"/>
  <c r="Q17" i="1"/>
  <c r="H17" i="1"/>
  <c r="AB21" i="1" l="1"/>
  <c r="AA21" i="1" s="1"/>
  <c r="X21" i="1"/>
  <c r="AB18" i="1"/>
  <c r="AA18" i="1" s="1"/>
  <c r="X18" i="1"/>
  <c r="AB22" i="1"/>
  <c r="AA22" i="1" s="1"/>
  <c r="X22" i="1"/>
  <c r="AB19" i="1"/>
  <c r="AA19" i="1" s="1"/>
  <c r="X19" i="1"/>
  <c r="AB28" i="1"/>
  <c r="AA28" i="1" s="1"/>
  <c r="AB25" i="1"/>
  <c r="AA25" i="1" s="1"/>
  <c r="X25" i="1"/>
  <c r="AB26" i="1"/>
  <c r="AA26" i="1" s="1"/>
  <c r="X26" i="1"/>
  <c r="X29" i="1"/>
  <c r="Y27" i="1"/>
  <c r="Z27" i="1"/>
  <c r="AB27" i="1"/>
  <c r="AA27" i="1" s="1"/>
  <c r="AB24" i="1"/>
  <c r="AA24" i="1" s="1"/>
  <c r="X24" i="1"/>
  <c r="AB20" i="1"/>
  <c r="AA20" i="1" s="1"/>
  <c r="I17" i="1"/>
  <c r="X17" i="1" s="1"/>
  <c r="X59" i="1"/>
  <c r="X53" i="1"/>
  <c r="X47" i="1"/>
  <c r="X41" i="1"/>
  <c r="X45" i="1"/>
  <c r="X46" i="1"/>
  <c r="X35" i="1"/>
  <c r="AC27" i="1" l="1"/>
  <c r="Z26" i="1"/>
  <c r="Y26" i="1"/>
  <c r="AC26" i="1" s="1"/>
  <c r="Z25" i="1"/>
  <c r="Y25" i="1"/>
  <c r="AC25" i="1" s="1"/>
  <c r="Y17" i="1"/>
  <c r="Z17" i="1"/>
  <c r="Z29" i="1"/>
  <c r="Y29" i="1"/>
  <c r="Z23" i="1"/>
  <c r="Y23" i="1"/>
  <c r="Y35" i="1"/>
  <c r="AC35" i="1" s="1"/>
  <c r="Z35" i="1"/>
  <c r="Y41" i="1"/>
  <c r="AC41" i="1" s="1"/>
  <c r="Z41" i="1"/>
  <c r="Y47" i="1"/>
  <c r="AC47" i="1" s="1"/>
  <c r="Z47" i="1"/>
  <c r="Y46" i="1"/>
  <c r="AC46" i="1" s="1"/>
  <c r="Z46" i="1"/>
  <c r="Z45" i="1"/>
  <c r="Y45" i="1"/>
  <c r="AC45" i="1" s="1"/>
  <c r="Y59" i="1"/>
  <c r="Z59" i="1"/>
  <c r="X60" i="1" s="1"/>
  <c r="Y60" i="1" s="1"/>
  <c r="Y53" i="1"/>
  <c r="Z53" i="1"/>
  <c r="X54" i="1" s="1"/>
  <c r="Z54" i="1" s="1"/>
  <c r="X55" i="1" s="1"/>
  <c r="X48" i="1"/>
  <c r="X36" i="1"/>
  <c r="X37" i="1" l="1"/>
  <c r="Y36" i="1"/>
  <c r="AC36" i="1" s="1"/>
  <c r="Z36" i="1"/>
  <c r="X49" i="1"/>
  <c r="Y48" i="1"/>
  <c r="AC48" i="1" s="1"/>
  <c r="Z48" i="1"/>
  <c r="Y18" i="1"/>
  <c r="AC18" i="1" s="1"/>
  <c r="Z18" i="1"/>
  <c r="Y19" i="1" s="1"/>
  <c r="Y24" i="1"/>
  <c r="AC24" i="1" s="1"/>
  <c r="Z24" i="1"/>
  <c r="Y54" i="1"/>
  <c r="Z55" i="1"/>
  <c r="X56" i="1" s="1"/>
  <c r="Y55" i="1"/>
  <c r="X50" i="1"/>
  <c r="Z60" i="1"/>
  <c r="X61" i="1" s="1"/>
  <c r="X30" i="1"/>
  <c r="X42" i="1"/>
  <c r="X43" i="1"/>
  <c r="Y30" i="1" l="1"/>
  <c r="AC30" i="1" s="1"/>
  <c r="Z30" i="1"/>
  <c r="Y43" i="1"/>
  <c r="AC43" i="1" s="1"/>
  <c r="Z43" i="1"/>
  <c r="Y50" i="1"/>
  <c r="AC50" i="1" s="1"/>
  <c r="Z50" i="1"/>
  <c r="Z49" i="1"/>
  <c r="Y49" i="1"/>
  <c r="AC49" i="1" s="1"/>
  <c r="Y42" i="1"/>
  <c r="AC42" i="1" s="1"/>
  <c r="Z42" i="1"/>
  <c r="Z19" i="1"/>
  <c r="Y20" i="1" s="1"/>
  <c r="AC19" i="1"/>
  <c r="Z37" i="1"/>
  <c r="Y37" i="1"/>
  <c r="AC37" i="1" s="1"/>
  <c r="Y56" i="1"/>
  <c r="Z56" i="1"/>
  <c r="X51" i="1"/>
  <c r="X44" i="1"/>
  <c r="Y61" i="1"/>
  <c r="Z61" i="1"/>
  <c r="X62" i="1" s="1"/>
  <c r="X38" i="1"/>
  <c r="X31" i="1"/>
  <c r="Z20" i="1" l="1"/>
  <c r="Y21" i="1" s="1"/>
  <c r="AC20" i="1"/>
  <c r="Z31" i="1"/>
  <c r="Y31" i="1"/>
  <c r="AC31" i="1" s="1"/>
  <c r="Z44" i="1"/>
  <c r="Y44" i="1"/>
  <c r="AC44" i="1" s="1"/>
  <c r="Y38" i="1"/>
  <c r="AC38" i="1" s="1"/>
  <c r="Z38" i="1"/>
  <c r="Y51" i="1"/>
  <c r="AC51" i="1" s="1"/>
  <c r="Z51" i="1"/>
  <c r="X32" i="1"/>
  <c r="X52" i="1"/>
  <c r="X57" i="1"/>
  <c r="X58" i="1"/>
  <c r="X39" i="1"/>
  <c r="Z62" i="1"/>
  <c r="Y62" i="1"/>
  <c r="Y28" i="1" l="1"/>
  <c r="AC28" i="1" s="1"/>
  <c r="Z28" i="1"/>
  <c r="Z21" i="1"/>
  <c r="Y22" i="1" s="1"/>
  <c r="AC21" i="1"/>
  <c r="Y52" i="1"/>
  <c r="AC52" i="1" s="1"/>
  <c r="Z52" i="1"/>
  <c r="Y39" i="1"/>
  <c r="AC39" i="1" s="1"/>
  <c r="Z39" i="1"/>
  <c r="X33" i="1"/>
  <c r="Y32" i="1"/>
  <c r="AC32" i="1" s="1"/>
  <c r="Z32" i="1"/>
  <c r="Y58" i="1"/>
  <c r="Z58" i="1"/>
  <c r="Y57" i="1"/>
  <c r="Z57" i="1"/>
  <c r="X63" i="1"/>
  <c r="X64" i="1"/>
  <c r="X40" i="1"/>
  <c r="X34" i="1"/>
  <c r="Y34" i="1" l="1"/>
  <c r="AC34" i="1" s="1"/>
  <c r="Z34" i="1"/>
  <c r="Z40" i="1"/>
  <c r="Y40" i="1"/>
  <c r="AC40" i="1" s="1"/>
  <c r="AC22" i="1"/>
  <c r="Z22" i="1"/>
  <c r="Z33" i="1"/>
  <c r="Y33" i="1"/>
  <c r="AC33" i="1" s="1"/>
  <c r="Y64" i="1"/>
  <c r="Z64" i="1"/>
  <c r="Y63" i="1"/>
  <c r="Z63" i="1"/>
  <c r="AD38" i="18" l="1"/>
  <c r="L30" i="18"/>
  <c r="AD30" i="18"/>
  <c r="AJ6" i="18"/>
  <c r="L14" i="18"/>
  <c r="L22" i="18"/>
  <c r="X6" i="18"/>
  <c r="L6" i="18"/>
  <c r="R38" i="18"/>
  <c r="AJ38" i="18"/>
  <c r="L38" i="18"/>
  <c r="AD6" i="18"/>
  <c r="R6" i="18"/>
  <c r="AJ30" i="18"/>
  <c r="R30" i="18"/>
  <c r="AD22" i="18"/>
  <c r="AJ14" i="18"/>
  <c r="AJ22" i="18"/>
  <c r="AD14" i="18"/>
  <c r="X38" i="18"/>
  <c r="X14" i="18"/>
  <c r="R22" i="18"/>
  <c r="X22" i="18"/>
  <c r="R14" i="18"/>
  <c r="X30" i="18"/>
  <c r="AB61" i="1" l="1"/>
  <c r="AB54" i="1"/>
  <c r="AB60" i="1" l="1"/>
  <c r="AA60" i="1" s="1"/>
  <c r="AA61" i="1"/>
  <c r="AB62" i="1"/>
  <c r="AA54" i="1"/>
  <c r="AB55" i="1"/>
  <c r="AA62" i="1" l="1"/>
  <c r="AB63" i="1"/>
  <c r="AC60" i="1"/>
  <c r="AC54" i="1"/>
  <c r="AC61" i="1"/>
  <c r="AA55" i="1"/>
  <c r="AB56" i="1"/>
  <c r="AA63" i="1" l="1"/>
  <c r="AB64" i="1"/>
  <c r="AA64" i="1" s="1"/>
  <c r="AC62" i="1"/>
  <c r="AA56" i="1"/>
  <c r="AB57" i="1"/>
  <c r="AC55" i="1"/>
  <c r="AC56" i="1" l="1"/>
  <c r="AC64" i="1"/>
  <c r="AC63" i="1"/>
  <c r="AA57" i="1"/>
  <c r="AB58" i="1"/>
  <c r="AA58" i="1" s="1"/>
  <c r="AC58" i="1" l="1"/>
  <c r="AC57" i="1"/>
  <c r="B223" i="13"/>
  <c r="B222" i="13"/>
  <c r="K32" i="1" l="1"/>
  <c r="L32" i="1" s="1"/>
  <c r="K34" i="1"/>
  <c r="L34" i="1" s="1"/>
  <c r="K31" i="1"/>
  <c r="L31" i="1" s="1"/>
  <c r="K33" i="1"/>
  <c r="L33" i="1" s="1"/>
  <c r="K30" i="1"/>
  <c r="L30" i="1" s="1"/>
  <c r="K16" i="1"/>
  <c r="L16" i="1" s="1"/>
  <c r="K12" i="1"/>
  <c r="L12" i="1" s="1"/>
  <c r="K15" i="1"/>
  <c r="L15" i="1" s="1"/>
  <c r="K13" i="1"/>
  <c r="L13" i="1" s="1"/>
  <c r="K14" i="1"/>
  <c r="L14" i="1" s="1"/>
  <c r="K35" i="1"/>
  <c r="L35" i="1" s="1"/>
  <c r="K41" i="1"/>
  <c r="L41" i="1" s="1"/>
  <c r="K29" i="1"/>
  <c r="L29" i="1" s="1"/>
  <c r="K53" i="1"/>
  <c r="L53" i="1" s="1"/>
  <c r="K23" i="1"/>
  <c r="L23" i="1" s="1"/>
  <c r="K59" i="1"/>
  <c r="L59" i="1" s="1"/>
  <c r="K17" i="1"/>
  <c r="L17" i="1" s="1"/>
  <c r="K47" i="1"/>
  <c r="L47" i="1" s="1"/>
  <c r="M33" i="1" l="1"/>
  <c r="N33" i="1"/>
  <c r="M31" i="1"/>
  <c r="N31" i="1"/>
  <c r="M34" i="1"/>
  <c r="N34" i="1"/>
  <c r="M30" i="1"/>
  <c r="N30" i="1"/>
  <c r="M32" i="1"/>
  <c r="N32" i="1"/>
  <c r="N17" i="1"/>
  <c r="AF22" i="18"/>
  <c r="Z6" i="18"/>
  <c r="AL30" i="18"/>
  <c r="Z30" i="18"/>
  <c r="AL22" i="18"/>
  <c r="N30" i="18"/>
  <c r="T6" i="18"/>
  <c r="N38" i="18"/>
  <c r="T14" i="18"/>
  <c r="Z22" i="18"/>
  <c r="AL38" i="18"/>
  <c r="T30" i="18"/>
  <c r="N14" i="18"/>
  <c r="AF30" i="18"/>
  <c r="T22" i="18"/>
  <c r="Z14" i="18"/>
  <c r="AL14" i="18"/>
  <c r="Z38" i="18"/>
  <c r="N22" i="18"/>
  <c r="T38" i="18"/>
  <c r="AL6" i="18"/>
  <c r="N6" i="18"/>
  <c r="M17" i="1"/>
  <c r="AB17" i="1" s="1"/>
  <c r="AA17" i="1" s="1"/>
  <c r="AF6" i="18"/>
  <c r="AF14" i="18"/>
  <c r="AF38" i="18"/>
  <c r="AJ8" i="18"/>
  <c r="N29" i="1"/>
  <c r="AJ24" i="18"/>
  <c r="L32" i="18"/>
  <c r="AD16" i="18"/>
  <c r="X8" i="18"/>
  <c r="M29" i="1"/>
  <c r="AB29" i="1" s="1"/>
  <c r="AA29" i="1" s="1"/>
  <c r="AC29" i="1" s="1"/>
  <c r="L16" i="18"/>
  <c r="R40" i="18"/>
  <c r="R24" i="18"/>
  <c r="L40" i="18"/>
  <c r="L8" i="18"/>
  <c r="X16" i="18"/>
  <c r="X32" i="18"/>
  <c r="R32" i="18"/>
  <c r="AJ40" i="18"/>
  <c r="AJ16" i="18"/>
  <c r="R16" i="18"/>
  <c r="R8" i="18"/>
  <c r="AD40" i="18"/>
  <c r="AD32" i="18"/>
  <c r="AJ32" i="18"/>
  <c r="AD24" i="18"/>
  <c r="AD8" i="18"/>
  <c r="L24" i="18"/>
  <c r="X40" i="18"/>
  <c r="X24" i="18"/>
  <c r="M13" i="1"/>
  <c r="AB13" i="1" s="1"/>
  <c r="AA13" i="1" s="1"/>
  <c r="AC13" i="1" s="1"/>
  <c r="N13" i="1"/>
  <c r="M59" i="1"/>
  <c r="AB59" i="1" s="1"/>
  <c r="AA59" i="1" s="1"/>
  <c r="AH20" i="18"/>
  <c r="AB20" i="18"/>
  <c r="P44" i="18"/>
  <c r="J28" i="18"/>
  <c r="AB12" i="18"/>
  <c r="P20" i="18"/>
  <c r="AB36" i="18"/>
  <c r="P36" i="18"/>
  <c r="J12" i="18"/>
  <c r="AB44" i="18"/>
  <c r="AH36" i="18"/>
  <c r="V44" i="18"/>
  <c r="J36" i="18"/>
  <c r="AH12" i="18"/>
  <c r="V12" i="18"/>
  <c r="J20" i="18"/>
  <c r="V28" i="18"/>
  <c r="J44" i="18"/>
  <c r="AH44" i="18"/>
  <c r="AB28" i="18"/>
  <c r="P28" i="18"/>
  <c r="AH28" i="18"/>
  <c r="N59" i="1"/>
  <c r="V36" i="18"/>
  <c r="P12" i="18"/>
  <c r="V20" i="18"/>
  <c r="AH34" i="18"/>
  <c r="J26" i="18"/>
  <c r="P10" i="18"/>
  <c r="AH10" i="18"/>
  <c r="V34" i="18"/>
  <c r="P18" i="18"/>
  <c r="P42" i="18"/>
  <c r="J34" i="18"/>
  <c r="V10" i="18"/>
  <c r="AH42" i="18"/>
  <c r="V18" i="18"/>
  <c r="AB26" i="18"/>
  <c r="AB34" i="18"/>
  <c r="AH26" i="18"/>
  <c r="AB42" i="18"/>
  <c r="V26" i="18"/>
  <c r="AH18" i="18"/>
  <c r="P26" i="18"/>
  <c r="V42" i="18"/>
  <c r="M41" i="1"/>
  <c r="AB10" i="18"/>
  <c r="J42" i="18"/>
  <c r="J18" i="18"/>
  <c r="P34" i="18"/>
  <c r="N41" i="1"/>
  <c r="AB18" i="18"/>
  <c r="J10" i="18"/>
  <c r="M15" i="1"/>
  <c r="AB15" i="1" s="1"/>
  <c r="AA15" i="1" s="1"/>
  <c r="AC15" i="1" s="1"/>
  <c r="N15" i="1"/>
  <c r="P22" i="18"/>
  <c r="M23" i="1"/>
  <c r="AB23" i="1" s="1"/>
  <c r="AA23" i="1" s="1"/>
  <c r="V8" i="18"/>
  <c r="AB16" i="18"/>
  <c r="AH24" i="18"/>
  <c r="V40" i="18"/>
  <c r="AH8" i="18"/>
  <c r="AB24" i="18"/>
  <c r="P32" i="18"/>
  <c r="N23" i="1"/>
  <c r="J40" i="18"/>
  <c r="J8" i="18"/>
  <c r="AB40" i="18"/>
  <c r="AB32" i="18"/>
  <c r="AH32" i="18"/>
  <c r="AB8" i="18"/>
  <c r="P24" i="18"/>
  <c r="J24" i="18"/>
  <c r="V24" i="18"/>
  <c r="J16" i="18"/>
  <c r="J32" i="18"/>
  <c r="P8" i="18"/>
  <c r="P16" i="18"/>
  <c r="AH16" i="18"/>
  <c r="P40" i="18"/>
  <c r="V16" i="18"/>
  <c r="V32" i="18"/>
  <c r="AH40" i="18"/>
  <c r="AL32" i="18"/>
  <c r="Z40" i="18"/>
  <c r="N40" i="18"/>
  <c r="AL8" i="18"/>
  <c r="Z24" i="18"/>
  <c r="AF8" i="18"/>
  <c r="AL16" i="18"/>
  <c r="M35" i="1"/>
  <c r="Z8" i="18"/>
  <c r="AL40" i="18"/>
  <c r="Z16" i="18"/>
  <c r="T8" i="18"/>
  <c r="T24" i="18"/>
  <c r="AF16" i="18"/>
  <c r="AL24" i="18"/>
  <c r="N8" i="18"/>
  <c r="N16" i="18"/>
  <c r="Z32" i="18"/>
  <c r="N24" i="18"/>
  <c r="AF24" i="18"/>
  <c r="T32" i="18"/>
  <c r="AF32" i="18"/>
  <c r="T16" i="18"/>
  <c r="T40" i="18"/>
  <c r="AF40" i="18"/>
  <c r="N32" i="18"/>
  <c r="N35" i="1"/>
  <c r="N12" i="1"/>
  <c r="M12" i="1"/>
  <c r="AB12" i="1" s="1"/>
  <c r="AA12" i="1" s="1"/>
  <c r="AB38" i="18"/>
  <c r="AB22" i="18"/>
  <c r="J22" i="18"/>
  <c r="P38" i="18"/>
  <c r="V38" i="18"/>
  <c r="AB6" i="18"/>
  <c r="P14" i="18"/>
  <c r="J14" i="18"/>
  <c r="AH30" i="18"/>
  <c r="J30" i="18"/>
  <c r="V22" i="18"/>
  <c r="AH6" i="18"/>
  <c r="V14" i="18"/>
  <c r="V6" i="18"/>
  <c r="AH22" i="18"/>
  <c r="J38" i="18"/>
  <c r="J6" i="18"/>
  <c r="AH14" i="18"/>
  <c r="P30" i="18"/>
  <c r="V30" i="18"/>
  <c r="AB30" i="18"/>
  <c r="AB14" i="18"/>
  <c r="AH38" i="18"/>
  <c r="P6" i="18"/>
  <c r="AJ26" i="18"/>
  <c r="R18" i="18"/>
  <c r="X34" i="18"/>
  <c r="AJ10" i="18"/>
  <c r="AD26" i="18"/>
  <c r="AD42" i="18"/>
  <c r="AJ34" i="18"/>
  <c r="X10" i="18"/>
  <c r="R26" i="18"/>
  <c r="AD18" i="18"/>
  <c r="M47" i="1"/>
  <c r="L10" i="18"/>
  <c r="L18" i="18"/>
  <c r="R34" i="18"/>
  <c r="X42" i="18"/>
  <c r="L34" i="18"/>
  <c r="AD34" i="18"/>
  <c r="AJ42" i="18"/>
  <c r="AD10" i="18"/>
  <c r="R10" i="18"/>
  <c r="R42" i="18"/>
  <c r="L42" i="18"/>
  <c r="X26" i="18"/>
  <c r="L26" i="18"/>
  <c r="AJ18" i="18"/>
  <c r="X18" i="18"/>
  <c r="N47" i="1"/>
  <c r="AF26" i="18"/>
  <c r="N34" i="18"/>
  <c r="Z10" i="18"/>
  <c r="M53" i="1"/>
  <c r="AB53" i="1" s="1"/>
  <c r="AA53" i="1" s="1"/>
  <c r="N18" i="18"/>
  <c r="AF10" i="18"/>
  <c r="T26" i="18"/>
  <c r="N26" i="18"/>
  <c r="T34" i="18"/>
  <c r="AL18" i="18"/>
  <c r="T42" i="18"/>
  <c r="N10" i="18"/>
  <c r="Z34" i="18"/>
  <c r="Z42" i="18"/>
  <c r="AF18" i="18"/>
  <c r="T18" i="18"/>
  <c r="Z26" i="18"/>
  <c r="AF34" i="18"/>
  <c r="AL34" i="18"/>
  <c r="AF42" i="18"/>
  <c r="N42" i="18"/>
  <c r="T10" i="18"/>
  <c r="Z18" i="18"/>
  <c r="N53" i="1"/>
  <c r="AL10" i="18"/>
  <c r="AL42" i="18"/>
  <c r="AL26" i="18"/>
  <c r="M14" i="1"/>
  <c r="AB14" i="1" s="1"/>
  <c r="AA14" i="1" s="1"/>
  <c r="AC14" i="1" s="1"/>
  <c r="N14" i="1"/>
  <c r="M16" i="1"/>
  <c r="AB16" i="1" s="1"/>
  <c r="AA16" i="1" s="1"/>
  <c r="AC16" i="1" s="1"/>
  <c r="N16" i="1"/>
  <c r="AC23" i="1" l="1"/>
  <c r="AC17" i="1"/>
  <c r="AC53" i="1"/>
  <c r="AC12" i="1"/>
  <c r="AC59" i="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<sst xmlns="http://schemas.openxmlformats.org/spreadsheetml/2006/main" count="712" uniqueCount="367">
  <si>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</si>
  <si>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</si>
  <si>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</si>
  <si>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</si>
  <si>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</si>
  <si>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</si>
  <si>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</si>
  <si>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</si>
  <si>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</si>
  <si>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</si>
  <si>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</si>
  <si>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</si>
  <si>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</si>
  <si>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</si>
  <si>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</si>
  <si>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</si>
  <si>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</si>
  <si>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</si>
  <si>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</si>
  <si>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</si>
  <si>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</si>
  <si>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</si>
  <si>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</si>
  <si>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</si>
  <si>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</si>
  <si>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</si>
  <si>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</si>
  <si>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</si>
  <si>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</si>
  <si>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</si>
  <si>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</si>
  <si>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</si>
  <si>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</si>
  <si>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</si>
  <si>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</si>
  <si>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</si>
  <si>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</si>
  <si>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</si>
  <si>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</si>
  <si>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</si>
  <si>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</si>
  <si>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</si>
  <si>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</si>
  <si>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</si>
  <si>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</si>
  <si>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</si>
  <si>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</si>
  <si>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</si>
  <si>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</si>
  <si>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</si>
  <si>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</si>
  <si>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</si>
  <si>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</si>
  <si>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</si>
  <si>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</si>
  <si>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</si>
  <si>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</si>
  <si>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</si>
  <si>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</si>
  <si>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</si>
  <si>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</si>
  <si>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</si>
  <si>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</si>
  <si>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</si>
  <si>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</si>
  <si>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</si>
  <si>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</si>
  <si>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</si>
  <si>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</si>
  <si>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</si>
  <si>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</si>
  <si>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</si>
  <si>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</si>
  <si>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</si>
  <si>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</si>
  <si>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</si>
  <si>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</si>
  <si>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</si>
  <si>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</si>
  <si>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</si>
  <si>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</si>
  <si>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</si>
  <si>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</si>
  <si>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</si>
  <si>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</si>
  <si>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</si>
  <si>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</si>
  <si>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</si>
  <si>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</si>
  <si>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</si>
  <si>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</si>
  <si>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</si>
  <si>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</si>
  <si>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</si>
  <si>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</si>
  <si>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</si>
  <si>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</si>
  <si>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</si>
  <si>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</si>
  <si>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</si>
  <si>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</si>
  <si>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</si>
  <si>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</si>
  <si>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</si>
  <si>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</si>
  <si>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</si>
  <si>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</si>
  <si>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</si>
  <si>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</si>
  <si>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</si>
  <si>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</si>
  <si>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</si>
  <si>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</si>
  <si>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</si>
  <si>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</si>
  <si>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</si>
  <si>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</si>
  <si>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</si>
  <si>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</si>
  <si>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</si>
  <si>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</si>
  <si>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</si>
  <si>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</si>
  <si>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</si>
  <si>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</si>
  <si>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</si>
  <si>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</si>
  <si>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</si>
  <si>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</si>
  <si>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</si>
  <si>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</si>
  <si>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</si>
  <si>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</si>
  <si>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</si>
  <si>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</si>
  <si>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</si>
  <si>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</si>
  <si>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</si>
  <si>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</si>
  <si>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</si>
  <si>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</si>
  <si>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</si>
  <si>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</si>
  <si>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</si>
  <si>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</si>
  <si>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</si>
  <si>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</si>
  <si>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</si>
  <si>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</si>
  <si>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</si>
  <si>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</si>
  <si>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</si>
  <si>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</si>
  <si>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</si>
  <si>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</si>
  <si>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</si>
  <si>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</si>
  <si>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</si>
  <si>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</si>
  <si>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</si>
  <si>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</si>
  <si>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</si>
  <si>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</si>
  <si>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</si>
  <si>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</si>
  <si>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</si>
  <si>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</si>
  <si>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</si>
  <si>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</si>
  <si>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</si>
  <si>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</si>
  <si>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</si>
  <si>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</si>
  <si>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</si>
  <si>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</si>
  <si>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</si>
  <si>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</si>
  <si>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</si>
  <si>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</si>
  <si>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</si>
  <si>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</si>
  <si>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</si>
  <si>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</si>
  <si>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</si>
  <si>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</si>
  <si>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</si>
  <si>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</si>
  <si>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</si>
  <si>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</si>
  <si>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</si>
  <si>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</si>
  <si>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</si>
  <si>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</si>
  <si>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</si>
  <si>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</si>
  <si>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</si>
  <si>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</si>
  <si>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</si>
  <si>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</si>
  <si>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</si>
  <si>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</si>
  <si>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</si>
  <si>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</si>
  <si>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</si>
  <si>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</si>
  <si>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</si>
  <si>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</si>
  <si>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</si>
  <si>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</si>
  <si>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</si>
  <si>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</si>
  <si>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PAGINA 1 DE 1</t>
  </si>
  <si>
    <t>El riesgo afecta la imagen de la entidad internamente, de conocimiento general, nivel interno, de junta directiva y accionistas y/o de provedores</t>
  </si>
  <si>
    <t>Indicador (soporte)</t>
  </si>
  <si>
    <t>Causas</t>
  </si>
  <si>
    <t>Consecuecnias</t>
  </si>
  <si>
    <t>DIRECCIONAMIENTO ESTRATEGICO Y GERENCIAL</t>
  </si>
  <si>
    <t>Falta de compromiso de la alta dirección
Falta de capacitación del personal de la ESE HUEM
Falta de seguimiento y monitoreo al MAPA</t>
  </si>
  <si>
    <t>Aumento del riesgo de actos de corrupción
Daño a la imagen y reputación de la institución
Perdidas economicas y sanciones legales</t>
  </si>
  <si>
    <t>Semestral</t>
  </si>
  <si>
    <t>Verificación de actas de cumplimiento de capacitaciones de construcción</t>
  </si>
  <si>
    <t>NIVEL DE CUMPLIMIENTO</t>
  </si>
  <si>
    <t>Oficina de Planeación y Calidad - Profesional asignado</t>
  </si>
  <si>
    <t>La oficina de Planeación y Calidad Velara por le cumplimiento de todos los controles y acciones plasmadas en el Mapa de Riesgos de Corrupción 2024</t>
  </si>
  <si>
    <t>No hay una actualizacion y capacitacion al personal del area en la administracion de documentos en nuevas tecnicas y normas del manejo general normativo nuevo expedido
Inducciones de nuevas normativas de salud para el personal a cargo</t>
  </si>
  <si>
    <t xml:space="preserve">Seguimiento al cumplimiento del mapa de riesgos de corrupción </t>
  </si>
  <si>
    <t>Incumplimiento al procesos de Debida Dilegencia a funcionarios Publicos</t>
  </si>
  <si>
    <t>Falta de conocimiento o comprensión del procedimiento
Presión para contratar rápidamente
Falta de recursos</t>
  </si>
  <si>
    <t>Contratación de proeedores y conrtapartes  no calificados
Problemas legales</t>
  </si>
  <si>
    <t>Seguimiento al cumplieinto del procedimiento de debida diligencia a funcinairos publicos</t>
  </si>
  <si>
    <t xml:space="preserve">Seguimiento al cumplieinto del procedimiento de debida diligencia a proveedores </t>
  </si>
  <si>
    <t>Falta de conocimiento o comprensión del procedimiento de debida diligencia
Falta de seguimiento 
Negligencia</t>
  </si>
  <si>
    <t>Problemas de seguridad, las actividades ilicitas extras de la laborales
Problemas legales</t>
  </si>
  <si>
    <t>CEGDOC</t>
  </si>
  <si>
    <t xml:space="preserve">Revisión a la diligencia de proveedores </t>
  </si>
  <si>
    <t>Revisión a la diligencia de funcionarios publicos</t>
  </si>
  <si>
    <t>GABYS</t>
  </si>
  <si>
    <t>Gestión y Desarrollo del Talento Humano</t>
  </si>
  <si>
    <t>Verificación de debidas diligencias realizadas a proveedores contratados</t>
  </si>
  <si>
    <t>Verificación de debidas diligencias realizadas a funcionarios publicos</t>
  </si>
  <si>
    <t>Modificacion de informacion de manera anonima
Ciberataques echos de manera externa que afectan la informacion de la institucion</t>
  </si>
  <si>
    <t xml:space="preserve">Secuestro de la información o detenimiento o retraso de las actividades por el bloqueo de los sistemas </t>
  </si>
  <si>
    <t>Monitoreo del sistema de defensa de la informacion. Perfiles de acceso por niveles. Cambio de contraeñas Politica de seguridad de la informacion</t>
  </si>
  <si>
    <t>Sistemas</t>
  </si>
  <si>
    <t>Manuales actulalizados y cargados en la intranet
Cambio de contraseñas y perfiles de todos los funcionario</t>
  </si>
  <si>
    <t>Uso inadecuado de la linea Etica institucional</t>
  </si>
  <si>
    <t>Desconocimiento del proceso de denuncia
Errores en la interpretación de la información
Miedo a represalias por parte de los denunciantes</t>
  </si>
  <si>
    <t>Los actos de corrupción no se denuncian
Se desanima a las personas a denunciar actos de corrupción
Se desgastan recursos en la investigación de denuncias falsas</t>
  </si>
  <si>
    <t>instructivo al personal para que pueda identificar y reportar posibles denuncias falsas</t>
  </si>
  <si>
    <t>Oficina de Planeación y Calidad 
Subgerencia Adminstrativa</t>
  </si>
  <si>
    <t>Ineficiencia en la gestion de recursos financieros</t>
  </si>
  <si>
    <t>Asignacion insufciente de recursos por falta de informacion a proveedores</t>
  </si>
  <si>
    <t>Destitución de funcionarios,
sanciones económicas y penales, deterioro de la imagen institucional</t>
  </si>
  <si>
    <t>Socialización y cargue del formato se la Supersalud FT018 dentro de los tiempos establecidos</t>
  </si>
  <si>
    <t>Socialización del instructivo y seguimiento a la construcción del FT018</t>
  </si>
  <si>
    <t>Lider Financiero</t>
  </si>
  <si>
    <t>Verificación del envio del formato FT018 a la super dentro delos tiempos establecidos</t>
  </si>
  <si>
    <t>Favoritismo al valorar o calificar las ofertas de contratacion de terceros para beneficio propio
No se cumplen procesos estandarizados para la gestion de la contratacion</t>
  </si>
  <si>
    <t>Incumplimiento de objetos contractuales. Desecar proveedores calificados para ejecucion de contratos. Deterioror del sisema de contratacion del hospital</t>
  </si>
  <si>
    <t>Actualizacion y adherencia al Manual de contratación de la ESE HUEM</t>
  </si>
  <si>
    <t>Estructura funcional y operativa area de contratacion. Manual de contratacion, procedimientos de contratacion</t>
  </si>
  <si>
    <t>OBSERVACIONES</t>
  </si>
  <si>
    <t>Verificación de actualización del manual de contratación y debidamente subido a la intranet institucional</t>
  </si>
  <si>
    <t>Anual</t>
  </si>
  <si>
    <t>Incumplimiento al procesos de Debida Dilegencia en contratación, proveedores y contrapartes relacionadas</t>
  </si>
  <si>
    <t>Procesos de verificación ineficientes
Falta de capacitación del personal</t>
  </si>
  <si>
    <t xml:space="preserve">Glosas por inadecuado procedimiento de verificación de seguros
Carga financiera para el hospital  </t>
  </si>
  <si>
    <t>Incumplimiento a herramientas de debida diligencia - Manual de Debida diligencia e intsructivo de Debida Diligencia y Manual SICOF</t>
  </si>
  <si>
    <t>Verificación del cumplimiento del procedimiento de la debida diligencia en las áreas relacionadas</t>
  </si>
  <si>
    <t>Actualización de manuales de Debida diligencia, Manual SICOF e Intrsuctivo de Debida Diligencia</t>
  </si>
  <si>
    <t>Trimestral</t>
  </si>
  <si>
    <t>El personal no está capacitado en el uso de los manuales
Los colaboradores no tienen acceso a las herramientas de Debida Diligencia
Falta de comprensión de los riesgos asociados con la falta de Debida Diligencia</t>
  </si>
  <si>
    <t>Pérdida de la confianza de los clientes, proveedores e inversores
Daño a la marca de la institución
Costos legales asociados con las investigaciones y los procesos judiciales</t>
  </si>
  <si>
    <t>Verificación de herramientas actualizadas y cargadas debidamente en la intranet institucional</t>
  </si>
  <si>
    <t>Abarca todas las areas de la ESE HUEM involucradas en los procedimientos relacionados con SICOF, como tambien a todos los colaborades y contrapartes relacionadas</t>
  </si>
  <si>
    <t>Identificar, evaluar y controlar posibles eventos de tipo de riesgos de corrupción, opacidad y fraude, que se presenten al interior de la ESE Hospital Universitario Erasmo Meoz, por lo tanto, se busca establecer las directrices y lineamientos los cuales impliquen establecer todos los mecanismos de prevención, detección y reporte de todos estos actos</t>
  </si>
  <si>
    <t>IMPACTO</t>
  </si>
  <si>
    <t>Probabilidad de Ocurrencia</t>
  </si>
  <si>
    <t>muy alta        100%</t>
  </si>
  <si>
    <t>EXTREMO</t>
  </si>
  <si>
    <t>Alta                        80%</t>
  </si>
  <si>
    <t>ALTO</t>
  </si>
  <si>
    <t>Media                    60%</t>
  </si>
  <si>
    <t>MODERADO</t>
  </si>
  <si>
    <t>Baja                    40%</t>
  </si>
  <si>
    <t>BAJO</t>
  </si>
  <si>
    <t>muy Baja 20%</t>
  </si>
  <si>
    <t>LEVE 20%</t>
  </si>
  <si>
    <t>MENOR 40%</t>
  </si>
  <si>
    <t>MODERADO 60%</t>
  </si>
  <si>
    <t>MAYOR 80%</t>
  </si>
  <si>
    <t>CATASTROFICO 100%</t>
  </si>
  <si>
    <t xml:space="preserve">                                                                                                                                                                                                                                                                                                                                                                                                                                                                                                                                              </t>
  </si>
  <si>
    <t># RIESGOS</t>
  </si>
  <si>
    <t>PROBABILIDAD</t>
  </si>
  <si>
    <t>NIVEL DE RIESGO</t>
  </si>
  <si>
    <t>Muy baja</t>
  </si>
  <si>
    <t>Tabla: Clasifiación del Riesgo</t>
  </si>
  <si>
    <t>Ejecución y administración de procesos</t>
  </si>
  <si>
    <t>Pérdidas derivadas de errores en la ejecución y administración de procesos.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</si>
  <si>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</si>
  <si>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</si>
  <si>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</si>
  <si>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</si>
  <si>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Fallas tecnológicas</t>
  </si>
  <si>
    <t>Errores en hardware, software, telecomunicaciones, interrupción de servicios básicos</t>
  </si>
  <si>
    <t>Relaciones laborales</t>
  </si>
  <si>
    <t>Pérdidas que surgen de acciones contrarias a las leyes o acuerdos de empleo, salud o seguridad, del pago de demandas por daños personales o de discriminación.</t>
  </si>
  <si>
    <t>Usuarios, productos y prácticas</t>
  </si>
  <si>
    <t>Fallas negligentes o involuntarias de las obligaciones frente a los usuarios y que impiden satisfacer una obligación profesional frente a éstos.</t>
  </si>
  <si>
    <t>Daños a activos fijos/eventos externos</t>
  </si>
  <si>
    <t>Pérdida por daños o extravíos de los activos fijos por desastres naturales u otros riesgos/eventos externos como atentados, vandalismo, orden público.</t>
  </si>
  <si>
    <t>Fuente: Manual SIGR HUEM</t>
  </si>
  <si>
    <t>Errores en la de indentificación de Atención de víctimas de accidentes de tránsito</t>
  </si>
  <si>
    <t>Verificación del cumplimiento del procedimiento y articulación con  la identificación de las necesidades de atención detectadas desde el Triage para víctimas de accidentes de tránsito debidamente palsmadas en el documento</t>
  </si>
  <si>
    <t>Falta de preparación por parte del personal de urgencias en la Atención de víctimas de accidentes de tránsito</t>
  </si>
  <si>
    <t>Falta de personal capacitado
Falta de herramientas y recursos
Falta de cultura de análisis de datos</t>
  </si>
  <si>
    <t>Deterioro de la calidad de la atención
Disminución de la satisfacción del paciente
Daño a la reputación del hospital</t>
  </si>
  <si>
    <t>Falta de analisis de información referente a la medición y caracteristicas relacionados con la recepción de pacientes vinculados a accidentes de transito</t>
  </si>
  <si>
    <t>Campañas de concientización y educación sobre el uso correcto en la prestación del servicio por accidentes de transito</t>
  </si>
  <si>
    <t>Generar Mecanismos de medición y seguimiento sobre la incidencia, frecuencia y principales características de los accidentes de tránsito y analisis de dicha información</t>
  </si>
  <si>
    <t>Atención a Urgencias
Equipo PyP</t>
  </si>
  <si>
    <t>Desarrollar una cultura de análisis de datos
Capacitación al personal de generación y seguimietno de indicadores</t>
  </si>
  <si>
    <t>Analisis de información sobre indicencia, frecuencia y principales caracateristsicas de accidentes de transito</t>
  </si>
  <si>
    <t>Acta de socialización y capacitacion sobre los controles establecidos</t>
  </si>
  <si>
    <t>Errores en el funionamiento de los procesos en la institucion
 sanciones internas</t>
  </si>
  <si>
    <t>Muy alta</t>
  </si>
  <si>
    <t>Capacitacinoes sobre lineamientos normativos en temas archivisticos del Programa de Gestión Documental PGD</t>
  </si>
  <si>
    <t>Falta de capacitación en conocimiento de los lineamientos y normativas internas y externas, en terminos archivistas del del Programa de Gestión Documental PGD</t>
  </si>
  <si>
    <t>Socializacion de nuevas normativas archivistas actas de capacitacion programa de gestino dcoumental PGD (2)</t>
  </si>
  <si>
    <t xml:space="preserve">Socializacion y capacitación por parte del lider de area sobre nuevos lineamientos en temas archivas del PGD </t>
  </si>
  <si>
    <t>Verificación de procedimeinto actualizado y cargado debidamente en la intranet institucional
Verificación de cambios de versión que cumplan como asistenca en accidente de transito</t>
  </si>
  <si>
    <t>1-3-4-5-6-7-12</t>
  </si>
  <si>
    <t>8-9-10-11</t>
  </si>
  <si>
    <t>CODIGO: PE-FO-020</t>
  </si>
  <si>
    <t>VERSION: 4</t>
  </si>
  <si>
    <t>FECHA: OCT 2024</t>
  </si>
  <si>
    <t>Ataques ciberneticos que modifquen o elimine la informacion guardada</t>
  </si>
  <si>
    <t>Imcumpliento del MAPA DE RIESGOS DE CORRUPCION E.S.E. HOSPITAL UNIVERSITARIO ERASMO MEOZ VIGENCIA 2025</t>
  </si>
  <si>
    <t>Acta de Seguimiento al cumplimiento del funcionamiento y respuesta de denuncias de la linea etica</t>
  </si>
  <si>
    <t>Actualizacion de sistemas de proteccion . Adeherencia a manuales de gerencia de información y protección de datos personales</t>
  </si>
  <si>
    <t>DIRECCIONAMIENTO ESTRATEGICO Y GERENCIA</t>
  </si>
  <si>
    <t>SICOF - PLANEACIÓN Y CALIDAD</t>
  </si>
  <si>
    <t>Socialización mediante plataformas tecbologicas,las herramientas de denuncias y prevención de riesgos de corrupción, opacidad y fraude</t>
  </si>
  <si>
    <t>Ausenciua de promoción de los canales seguros de denuncias en la ESE HUEM</t>
  </si>
  <si>
    <t>No se han implementado campañas efectivas de comunicación para informar al personal y a la comunidad sobre la existencia y funcionamiento de los canales seguros de denuncia.
La falta de herramientas digitales accesibles o la poca adaptación de los canales de denuncia a las necesidades del personal y usuarios dificulta su uso.</t>
  </si>
  <si>
    <t>Aumento del riesgo de corrupción y fraude
Menor transparencia institucional
Menor transparencia institucional
Impunidad y normalización de malas prácticas</t>
  </si>
  <si>
    <t>Seguimiento al funcionamiento correcto de lineas de denuncia y actualización de documentos y manuales del SICOF</t>
  </si>
  <si>
    <t xml:space="preserve">Oficina de Planeación y Calidad </t>
  </si>
  <si>
    <t>Soporte de socialización mediante plataforma tecnlogica (fotos, foleto,port6ector de pantallas o correo, entre otros)</t>
  </si>
  <si>
    <t>Área o Servicio</t>
  </si>
  <si>
    <t>Seguimiento al funcionamiento corrrecto de la Linea etica insititucional</t>
  </si>
  <si>
    <t>MAPA DE RIESGOS DE ADMINISTRACION DE RIESGOS SICOF (CORRUPCION, LA OPACIDAD Y FRAUDE) 2025</t>
  </si>
  <si>
    <t>Capacitaciones a todos los colaboradores de los lineamientos del Codigo de Integridad y buen gobierno
Socialización de piezas graficas a travez de plaatformas tecnologias</t>
  </si>
  <si>
    <t>Oficina de Talento humano</t>
  </si>
  <si>
    <t>Implementación y cumplimiento estricto del Código de Integridad y Buen Gobierno</t>
  </si>
  <si>
    <t>Actas de capacitación a colaboradores
Pieza Grafica socializada</t>
  </si>
  <si>
    <t>Posibilidad de presentarse Conflicto de interes relacionado  la toma de decisiones en procesos de selección, nombramiento, contratación o evaluación del desempeño tiene intereses personales, familiares o económicos que pueden influir en su objetividad e imparcialidad</t>
  </si>
  <si>
    <t>Ausencia o debilidad en la normativa interna que regule los conflictos de intereses en la contratación y gestión de personal
Deficiencias en la implementación del Código de Integridad y Buen gobierno dentro de la institución.</t>
  </si>
  <si>
    <t>Designaciones irregulares o influenciadas por intereses personales.
Designaciones irregulares o influenciadas por intereses personales.
Designaciones irregulares o influenciadas por intereses personales.</t>
  </si>
  <si>
    <t>Atención a Urgencias
Estadistica</t>
  </si>
  <si>
    <t>Posibilidad de Conflicto de interes en la toma de decisiones al momento de la contratación de proveedores</t>
  </si>
  <si>
    <t>Actualización y adherencia del del procedimiento de control y articulado con la identificación de pacientes y atención en salud</t>
  </si>
  <si>
    <t xml:space="preserve">Seguimiento a socializaciones y capacitaciones al personal </t>
  </si>
  <si>
    <t>8-9-10</t>
  </si>
  <si>
    <t>6</t>
  </si>
  <si>
    <t>2-3-4-5-7-8-11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</si>
</sst>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8"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28"/>
      <color rgb="FF000000"/>
      <name val="Calibri"/>
      <family val="2"/>
    </font>
    <font>
      <b/>
      <sz val="36"/>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4"/>
      <color theme="0"/>
      <name val="Arial Narrow"/>
      <family val="2"/>
    </font>
    <font>
      <b/>
      <sz val="18"/>
      <color theme="0"/>
      <name val="Arial Narrow"/>
      <family val="2"/>
    </font>
    <font>
      <b/>
      <sz val="11"/>
      <color theme="0"/>
      <name val="Arial Narrow"/>
      <family val="2"/>
    </font>
    <font>
      <b/>
      <sz val="11"/>
      <color theme="0"/>
      <name val="Calibri"/>
      <family val="2"/>
      <scheme val="minor"/>
    </font>
    <font>
      <b/>
      <sz val="11"/>
      <color theme="1"/>
      <name val="Calibri"/>
      <family val="2"/>
      <scheme val="minor"/>
    </font>
    <font>
      <sz val="12"/>
      <name val="Arial Narrow"/>
      <family val="2"/>
    </font>
    <font>
      <b/>
      <sz val="12"/>
      <color theme="0"/>
      <name val="Arial Narrow"/>
      <family val="2"/>
    </font>
    <font>
      <b/>
      <sz val="24"/>
      <name val="Arial"/>
      <family val="2"/>
    </font>
    <font>
      <b/>
      <sz val="26"/>
      <name val="Arial Narrow"/>
      <family val="2"/>
    </font>
    <font>
      <sz val="26"/>
      <name val="Arial"/>
      <family val="2"/>
    </font>
    <font>
      <b/>
      <sz val="12"/>
      <color theme="1"/>
      <name val="Arial"/>
      <family val="2"/>
    </font>
    <font>
      <sz val="9"/>
      <color theme="1"/>
      <name val="Arial"/>
      <family val="2"/>
    </font>
    <font>
      <b/>
      <sz val="9"/>
      <color theme="1"/>
      <name val="Arial"/>
      <family val="2"/>
    </font>
    <font>
      <b/>
      <sz val="9"/>
      <color theme="0"/>
      <name val="Arial"/>
      <family val="2"/>
    </font>
    <font>
      <b/>
      <sz val="8"/>
      <color theme="1"/>
      <name val="Arial"/>
      <family val="2"/>
    </font>
    <font>
      <sz val="8"/>
      <color theme="1"/>
      <name val="Arial"/>
      <family val="2"/>
    </font>
    <font>
      <b/>
      <sz val="11"/>
      <color theme="1"/>
      <name val="Arial"/>
      <family val="2"/>
    </font>
    <font>
      <sz val="11"/>
      <color theme="1"/>
      <name val="Arial"/>
      <family val="2"/>
    </font>
    <font>
      <b/>
      <sz val="12"/>
      <color theme="1"/>
      <name val="Arial Narrow"/>
      <family val="2"/>
    </font>
    <font>
      <i/>
      <sz val="9"/>
      <color theme="1"/>
      <name val="Arial Narrow"/>
      <family val="2"/>
    </font>
    <font>
      <sz val="12"/>
      <name val="Arial"/>
      <family val="2"/>
    </font>
    <font>
      <b/>
      <sz val="12"/>
      <name val="Arial"/>
      <family val="2"/>
    </font>
    <font>
      <sz val="11"/>
      <name val="Arial"/>
      <family val="2"/>
    </font>
    <font>
      <b/>
      <sz val="11"/>
      <name val="Arial"/>
      <family val="2"/>
    </font>
    <font>
      <b/>
      <sz val="22"/>
      <color theme="1"/>
      <name val="Arial"/>
      <family val="2"/>
    </font>
    <font>
      <sz val="14"/>
      <color theme="1"/>
      <name val="Arial"/>
      <family val="2"/>
    </font>
    <font>
      <b/>
      <sz val="18"/>
      <color theme="0"/>
      <name val="Arial"/>
      <family val="2"/>
    </font>
    <font>
      <b/>
      <sz val="14"/>
      <color theme="1"/>
      <name val="Arial"/>
      <family val="2"/>
    </font>
  </fonts>
  <fills count="2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0404C4"/>
        <bgColor indexed="64"/>
      </patternFill>
    </fill>
    <fill>
      <patternFill patternType="solid">
        <fgColor rgb="FF055D06"/>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00CC00"/>
        <bgColor indexed="64"/>
      </patternFill>
    </fill>
    <fill>
      <patternFill patternType="solid">
        <fgColor rgb="FFB2B2B2"/>
        <bgColor indexed="64"/>
      </patternFill>
    </fill>
    <fill>
      <patternFill patternType="solid">
        <fgColor rgb="FFFFFFCC"/>
      </patternFill>
    </fill>
  </fills>
  <borders count="73">
    <border>
      <left/>
      <right/>
      <top/>
      <bottom/>
      <diagonal/>
    </border>
    <border>
      <left style="dotted">
        <color rgb="FFF79646"/>
      </left>
      <right style="dotted">
        <color rgb="FFF79646"/>
      </right>
      <top style="dotted">
        <color rgb="FFF79646"/>
      </top>
      <bottom style="dotted">
        <color rgb="FFF79646"/>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9">
    <xf numFmtId="0" fontId="0" fillId="0" borderId="0"/>
    <xf numFmtId="9" fontId="13" fillId="0" borderId="0" applyFont="0" applyFill="0" applyBorder="0" applyAlignment="0" applyProtection="0"/>
    <xf numFmtId="0" fontId="39" fillId="0" borderId="0"/>
    <xf numFmtId="0" fontId="40" fillId="0" borderId="0"/>
    <xf numFmtId="0" fontId="5" fillId="0" borderId="0"/>
    <xf numFmtId="0" fontId="13" fillId="0" borderId="0"/>
    <xf numFmtId="0" fontId="13" fillId="0" borderId="0"/>
    <xf numFmtId="0" fontId="13" fillId="0" borderId="0"/>
    <xf numFmtId="0" fontId="13" fillId="22" borderId="72" applyNumberFormat="0" applyFont="0" applyAlignment="0" applyProtection="0"/>
  </cellStyleXfs>
  <cellXfs count="40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7" fillId="0" borderId="0" xfId="0" applyFont="1" applyAlignment="1">
      <alignment horizontal="center" vertical="center" wrapText="1"/>
    </xf>
    <xf numFmtId="0" fontId="8" fillId="6" borderId="0" xfId="0" applyFont="1" applyFill="1" applyAlignment="1">
      <alignment horizontal="center" vertical="center" wrapText="1" readingOrder="1"/>
    </xf>
    <xf numFmtId="0" fontId="9" fillId="5" borderId="2" xfId="0" applyFont="1" applyFill="1" applyBorder="1" applyAlignment="1">
      <alignment horizontal="center" vertical="center" wrapText="1" readingOrder="1"/>
    </xf>
    <xf numFmtId="0" fontId="9" fillId="0" borderId="2" xfId="0" applyFont="1" applyBorder="1" applyAlignment="1">
      <alignment horizontal="justify" vertical="center" wrapText="1" readingOrder="1"/>
    </xf>
    <xf numFmtId="9" fontId="9" fillId="0" borderId="2" xfId="0" applyNumberFormat="1" applyFont="1" applyBorder="1" applyAlignment="1">
      <alignment horizontal="center" vertical="center" wrapText="1" readingOrder="1"/>
    </xf>
    <xf numFmtId="0" fontId="9" fillId="7" borderId="1" xfId="0" applyFont="1" applyFill="1" applyBorder="1" applyAlignment="1">
      <alignment horizontal="center" vertical="center" wrapText="1" readingOrder="1"/>
    </xf>
    <xf numFmtId="0" fontId="9" fillId="0" borderId="1" xfId="0" applyFont="1" applyBorder="1" applyAlignment="1">
      <alignment horizontal="justify" vertical="center" wrapText="1" readingOrder="1"/>
    </xf>
    <xf numFmtId="9" fontId="9" fillId="0" borderId="1" xfId="0" applyNumberFormat="1" applyFont="1" applyBorder="1" applyAlignment="1">
      <alignment horizontal="center" vertical="center" wrapText="1" readingOrder="1"/>
    </xf>
    <xf numFmtId="0" fontId="9" fillId="4" borderId="1" xfId="0" applyFont="1" applyFill="1" applyBorder="1" applyAlignment="1">
      <alignment horizontal="center" vertical="center" wrapText="1" readingOrder="1"/>
    </xf>
    <xf numFmtId="0" fontId="9" fillId="8" borderId="1" xfId="0" applyFont="1" applyFill="1" applyBorder="1" applyAlignment="1">
      <alignment horizontal="center" vertical="center" wrapText="1" readingOrder="1"/>
    </xf>
    <xf numFmtId="0" fontId="10" fillId="9" borderId="1" xfId="0" applyFont="1" applyFill="1" applyBorder="1" applyAlignment="1">
      <alignment horizontal="center" vertical="center" wrapText="1" readingOrder="1"/>
    </xf>
    <xf numFmtId="0" fontId="14" fillId="0" borderId="0" xfId="0" applyFont="1"/>
    <xf numFmtId="0" fontId="12"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3" fillId="0" borderId="0" xfId="0" applyFont="1" applyFill="1" applyAlignment="1">
      <alignment vertical="center"/>
    </xf>
    <xf numFmtId="0" fontId="24" fillId="0" borderId="0" xfId="0" applyFont="1" applyFill="1"/>
    <xf numFmtId="0" fontId="22" fillId="0" borderId="0" xfId="0" applyFont="1"/>
    <xf numFmtId="0" fontId="0" fillId="0" borderId="0" xfId="0" pivotButton="1"/>
    <xf numFmtId="0" fontId="11" fillId="0" borderId="0" xfId="0" applyFont="1" applyBorder="1" applyAlignment="1">
      <alignment horizontal="justify" vertical="center" wrapText="1" readingOrder="1"/>
    </xf>
    <xf numFmtId="0" fontId="25" fillId="0" borderId="0" xfId="0" applyFont="1"/>
    <xf numFmtId="0" fontId="27" fillId="6" borderId="0" xfId="0" applyFont="1" applyFill="1" applyAlignment="1">
      <alignment horizontal="center" vertical="center" wrapText="1" readingOrder="1"/>
    </xf>
    <xf numFmtId="0" fontId="28" fillId="0" borderId="2" xfId="0" applyFont="1" applyBorder="1" applyAlignment="1">
      <alignment horizontal="justify" vertical="center" wrapText="1" readingOrder="1"/>
    </xf>
    <xf numFmtId="0" fontId="28" fillId="0" borderId="1" xfId="0" applyFont="1" applyBorder="1" applyAlignment="1">
      <alignment horizontal="justify" vertical="center" wrapText="1" readingOrder="1"/>
    </xf>
    <xf numFmtId="0" fontId="28" fillId="5" borderId="2" xfId="0" applyFont="1" applyFill="1" applyBorder="1" applyAlignment="1">
      <alignment horizontal="center" vertical="center" wrapText="1" readingOrder="1"/>
    </xf>
    <xf numFmtId="0" fontId="28" fillId="7" borderId="1" xfId="0" applyFont="1" applyFill="1" applyBorder="1" applyAlignment="1">
      <alignment horizontal="center" vertical="center" wrapText="1" readingOrder="1"/>
    </xf>
    <xf numFmtId="0" fontId="28" fillId="4" borderId="1" xfId="0" applyFont="1" applyFill="1" applyBorder="1" applyAlignment="1">
      <alignment horizontal="center" vertical="center" wrapText="1" readingOrder="1"/>
    </xf>
    <xf numFmtId="0" fontId="28" fillId="8" borderId="1" xfId="0" applyFont="1" applyFill="1" applyBorder="1" applyAlignment="1">
      <alignment horizontal="center" vertical="center" wrapText="1" readingOrder="1"/>
    </xf>
    <xf numFmtId="0" fontId="29" fillId="9" borderId="1" xfId="0" applyFont="1" applyFill="1" applyBorder="1" applyAlignment="1">
      <alignment horizontal="center" vertical="center" wrapText="1" readingOrder="1"/>
    </xf>
    <xf numFmtId="0" fontId="28" fillId="0" borderId="2" xfId="0" applyFont="1" applyBorder="1" applyAlignment="1">
      <alignment horizontal="center" vertical="center" wrapText="1" readingOrder="1"/>
    </xf>
    <xf numFmtId="0" fontId="28" fillId="0" borderId="1" xfId="0" applyFont="1" applyBorder="1" applyAlignment="1">
      <alignment horizontal="center" vertical="center" wrapText="1" readingOrder="1"/>
    </xf>
    <xf numFmtId="0" fontId="0" fillId="3" borderId="0" xfId="0" applyFill="1"/>
    <xf numFmtId="0" fontId="41" fillId="3" borderId="37" xfId="2" applyFont="1" applyFill="1" applyBorder="1" applyProtection="1"/>
    <xf numFmtId="0" fontId="41" fillId="3" borderId="38" xfId="2" applyFont="1" applyFill="1" applyBorder="1" applyProtection="1"/>
    <xf numFmtId="0" fontId="41" fillId="3" borderId="39" xfId="2" applyFont="1" applyFill="1" applyBorder="1" applyProtection="1"/>
    <xf numFmtId="0" fontId="15" fillId="3" borderId="0" xfId="0" applyFont="1" applyFill="1" applyAlignment="1">
      <alignment vertical="center"/>
    </xf>
    <xf numFmtId="0" fontId="5" fillId="3" borderId="0" xfId="0" applyFont="1" applyFill="1"/>
    <xf numFmtId="0" fontId="31" fillId="3" borderId="0" xfId="0" applyFont="1" applyFill="1"/>
    <xf numFmtId="0" fontId="32" fillId="3" borderId="20" xfId="0" applyFont="1" applyFill="1" applyBorder="1" applyAlignment="1">
      <alignment horizontal="center" vertical="center" wrapText="1" readingOrder="1"/>
    </xf>
    <xf numFmtId="0" fontId="33" fillId="3" borderId="20" xfId="0" applyFont="1" applyFill="1" applyBorder="1" applyAlignment="1">
      <alignment horizontal="justify" vertical="center" wrapText="1" readingOrder="1"/>
    </xf>
    <xf numFmtId="9" fontId="32" fillId="3" borderId="29" xfId="0" applyNumberFormat="1" applyFont="1" applyFill="1" applyBorder="1" applyAlignment="1">
      <alignment horizontal="center" vertical="center" wrapText="1" readingOrder="1"/>
    </xf>
    <xf numFmtId="0" fontId="32" fillId="3" borderId="19" xfId="0" applyFont="1" applyFill="1" applyBorder="1" applyAlignment="1">
      <alignment horizontal="center" vertical="center" wrapText="1" readingOrder="1"/>
    </xf>
    <xf numFmtId="0" fontId="33" fillId="3" borderId="19" xfId="0" applyFont="1" applyFill="1" applyBorder="1" applyAlignment="1">
      <alignment horizontal="justify" vertical="center" wrapText="1" readingOrder="1"/>
    </xf>
    <xf numFmtId="9" fontId="32" fillId="3" borderId="24" xfId="0" applyNumberFormat="1" applyFont="1" applyFill="1" applyBorder="1" applyAlignment="1">
      <alignment horizontal="center" vertical="center" wrapText="1" readingOrder="1"/>
    </xf>
    <xf numFmtId="0" fontId="33" fillId="3" borderId="24" xfId="0" applyFont="1" applyFill="1" applyBorder="1" applyAlignment="1">
      <alignment horizontal="center" vertical="center" wrapText="1" readingOrder="1"/>
    </xf>
    <xf numFmtId="0" fontId="32" fillId="3" borderId="26" xfId="0" applyFont="1" applyFill="1" applyBorder="1" applyAlignment="1">
      <alignment horizontal="center" vertical="center" wrapText="1" readingOrder="1"/>
    </xf>
    <xf numFmtId="0" fontId="33" fillId="3" borderId="26" xfId="0" applyFont="1" applyFill="1" applyBorder="1" applyAlignment="1">
      <alignment horizontal="justify" vertical="center" wrapText="1" readingOrder="1"/>
    </xf>
    <xf numFmtId="0" fontId="33" fillId="3" borderId="27" xfId="0" applyFont="1" applyFill="1" applyBorder="1" applyAlignment="1">
      <alignment horizontal="center" vertical="center" wrapText="1" readingOrder="1"/>
    </xf>
    <xf numFmtId="0" fontId="38" fillId="3" borderId="0" xfId="0" applyFont="1" applyFill="1"/>
    <xf numFmtId="0" fontId="32" fillId="15" borderId="31" xfId="0" applyFont="1" applyFill="1" applyBorder="1" applyAlignment="1">
      <alignment horizontal="center" vertical="center" wrapText="1" readingOrder="1"/>
    </xf>
    <xf numFmtId="0" fontId="32" fillId="15" borderId="32" xfId="0" applyFont="1" applyFill="1" applyBorder="1" applyAlignment="1">
      <alignment horizontal="center" vertical="center" wrapText="1" readingOrder="1"/>
    </xf>
    <xf numFmtId="0" fontId="12" fillId="3" borderId="0" xfId="0" applyFont="1" applyFill="1"/>
    <xf numFmtId="0" fontId="26" fillId="3" borderId="0" xfId="0" applyFont="1" applyFill="1" applyAlignment="1">
      <alignment horizontal="center" vertical="center" wrapText="1"/>
    </xf>
    <xf numFmtId="0" fontId="11" fillId="3" borderId="0" xfId="0" applyFont="1" applyFill="1" applyBorder="1" applyAlignment="1">
      <alignment horizontal="justify" vertical="center" wrapText="1" readingOrder="1"/>
    </xf>
    <xf numFmtId="0" fontId="4" fillId="3" borderId="0" xfId="0" applyFont="1" applyFill="1" applyAlignment="1">
      <alignment vertical="center"/>
    </xf>
    <xf numFmtId="0" fontId="14" fillId="3" borderId="0" xfId="0" applyFont="1" applyFill="1"/>
    <xf numFmtId="0" fontId="4" fillId="3" borderId="0" xfId="0" applyFont="1" applyFill="1" applyAlignment="1">
      <alignment horizontal="left" vertical="center"/>
    </xf>
    <xf numFmtId="0" fontId="41" fillId="3" borderId="5" xfId="2" applyFont="1" applyFill="1" applyBorder="1" applyProtection="1"/>
    <xf numFmtId="0" fontId="46" fillId="3" borderId="0" xfId="0" applyFont="1" applyFill="1" applyBorder="1" applyAlignment="1" applyProtection="1">
      <alignment horizontal="left" vertical="center" wrapText="1"/>
    </xf>
    <xf numFmtId="0" fontId="47" fillId="3" borderId="0" xfId="0" applyFont="1" applyFill="1" applyBorder="1" applyAlignment="1" applyProtection="1">
      <alignment horizontal="left" vertical="top" wrapText="1"/>
    </xf>
    <xf numFmtId="0" fontId="41" fillId="3" borderId="0" xfId="2" applyFont="1" applyFill="1" applyBorder="1" applyProtection="1"/>
    <xf numFmtId="0" fontId="41" fillId="3" borderId="6" xfId="2" applyFont="1" applyFill="1" applyBorder="1" applyProtection="1"/>
    <xf numFmtId="0" fontId="41" fillId="3" borderId="7" xfId="2" applyFont="1" applyFill="1" applyBorder="1" applyProtection="1"/>
    <xf numFmtId="0" fontId="41" fillId="3" borderId="9" xfId="2" applyFont="1" applyFill="1" applyBorder="1" applyProtection="1"/>
    <xf numFmtId="0" fontId="41" fillId="3" borderId="8" xfId="2" applyFont="1" applyFill="1" applyBorder="1" applyProtection="1"/>
    <xf numFmtId="0" fontId="45" fillId="3" borderId="0" xfId="2" applyFont="1" applyFill="1" applyBorder="1" applyAlignment="1" applyProtection="1">
      <alignment horizontal="left" vertical="center" wrapText="1"/>
    </xf>
    <xf numFmtId="0" fontId="41" fillId="3" borderId="0" xfId="2" applyFont="1" applyFill="1" applyBorder="1" applyAlignment="1" applyProtection="1">
      <alignment horizontal="left" vertical="center" wrapText="1"/>
    </xf>
    <xf numFmtId="0" fontId="41" fillId="3" borderId="0" xfId="2" quotePrefix="1" applyFont="1" applyFill="1" applyBorder="1" applyAlignment="1" applyProtection="1">
      <alignment horizontal="left" vertical="center" wrapText="1"/>
    </xf>
    <xf numFmtId="0" fontId="41" fillId="3" borderId="6" xfId="2" applyFont="1" applyFill="1" applyBorder="1" applyAlignment="1" applyProtection="1"/>
    <xf numFmtId="0" fontId="43" fillId="3" borderId="5" xfId="2" quotePrefix="1" applyFont="1" applyFill="1" applyBorder="1" applyAlignment="1" applyProtection="1">
      <alignment horizontal="left" vertical="top" wrapText="1"/>
    </xf>
    <xf numFmtId="0" fontId="44" fillId="3" borderId="0" xfId="2" quotePrefix="1" applyFont="1" applyFill="1" applyBorder="1" applyAlignment="1" applyProtection="1">
      <alignment horizontal="left" vertical="top" wrapText="1"/>
    </xf>
    <xf numFmtId="0" fontId="44" fillId="3" borderId="6" xfId="2" quotePrefix="1" applyFont="1" applyFill="1" applyBorder="1" applyAlignment="1" applyProtection="1">
      <alignment horizontal="left" vertical="top" wrapText="1"/>
    </xf>
    <xf numFmtId="0" fontId="1" fillId="0" borderId="19" xfId="0" applyFont="1" applyBorder="1" applyAlignment="1">
      <alignment horizontal="center" vertical="center"/>
    </xf>
    <xf numFmtId="0" fontId="52" fillId="17" borderId="19" xfId="0" applyFont="1" applyFill="1" applyBorder="1" applyAlignment="1">
      <alignment horizontal="center" vertical="center" textRotation="90"/>
    </xf>
    <xf numFmtId="0" fontId="44" fillId="0" borderId="19" xfId="0" applyFont="1" applyFill="1" applyBorder="1" applyAlignment="1" applyProtection="1">
      <alignment horizontal="center" vertical="center" textRotation="90" wrapText="1"/>
      <protection hidden="1"/>
    </xf>
    <xf numFmtId="0" fontId="44" fillId="0" borderId="19" xfId="0" applyFont="1" applyBorder="1" applyAlignment="1" applyProtection="1">
      <alignment horizontal="center" vertical="center" textRotation="90"/>
      <protection hidden="1"/>
    </xf>
    <xf numFmtId="0" fontId="44" fillId="0" borderId="19" xfId="0" applyFont="1" applyBorder="1" applyAlignment="1" applyProtection="1">
      <alignment horizontal="center" vertical="center"/>
    </xf>
    <xf numFmtId="0" fontId="45" fillId="0" borderId="19" xfId="0" applyFont="1" applyBorder="1" applyAlignment="1" applyProtection="1">
      <alignment horizontal="justify" vertical="center" wrapText="1"/>
      <protection locked="0"/>
    </xf>
    <xf numFmtId="0" fontId="44" fillId="0" borderId="19" xfId="0" applyFont="1" applyBorder="1" applyAlignment="1" applyProtection="1">
      <alignment horizontal="center" vertical="center"/>
      <protection hidden="1"/>
    </xf>
    <xf numFmtId="0" fontId="44" fillId="0" borderId="19" xfId="0" applyFont="1" applyBorder="1" applyAlignment="1" applyProtection="1">
      <alignment horizontal="center" vertical="center" textRotation="90"/>
      <protection locked="0"/>
    </xf>
    <xf numFmtId="9" fontId="44" fillId="0" borderId="19" xfId="0" applyNumberFormat="1" applyFont="1" applyBorder="1" applyAlignment="1" applyProtection="1">
      <alignment horizontal="center" vertical="center"/>
      <protection hidden="1"/>
    </xf>
    <xf numFmtId="164" fontId="44" fillId="0" borderId="19" xfId="1" applyNumberFormat="1" applyFont="1" applyBorder="1" applyAlignment="1">
      <alignment horizontal="center" vertical="center"/>
    </xf>
    <xf numFmtId="0" fontId="44" fillId="0" borderId="19" xfId="0" applyFont="1" applyBorder="1" applyAlignment="1" applyProtection="1">
      <alignment horizontal="center" vertical="center" wrapText="1"/>
      <protection locked="0"/>
    </xf>
    <xf numFmtId="0" fontId="44" fillId="0" borderId="19" xfId="0" applyFont="1" applyBorder="1" applyAlignment="1" applyProtection="1">
      <alignment horizontal="center" vertical="center"/>
      <protection locked="0"/>
    </xf>
    <xf numFmtId="14" fontId="44" fillId="0" borderId="19" xfId="0" applyNumberFormat="1" applyFont="1" applyBorder="1" applyAlignment="1" applyProtection="1">
      <alignment horizontal="center" vertical="center"/>
      <protection locked="0"/>
    </xf>
    <xf numFmtId="0" fontId="44" fillId="3" borderId="19" xfId="0" applyFont="1" applyFill="1" applyBorder="1" applyAlignment="1">
      <alignment vertical="center"/>
    </xf>
    <xf numFmtId="0" fontId="44" fillId="0" borderId="19" xfId="0" applyFont="1" applyBorder="1" applyAlignment="1" applyProtection="1">
      <alignment horizontal="justify" vertical="center"/>
      <protection locked="0"/>
    </xf>
    <xf numFmtId="0" fontId="44" fillId="0" borderId="19" xfId="0" applyFont="1" applyBorder="1" applyAlignment="1">
      <alignment vertical="center"/>
    </xf>
    <xf numFmtId="0" fontId="1" fillId="3" borderId="0" xfId="0" applyFont="1" applyFill="1" applyBorder="1"/>
    <xf numFmtId="0" fontId="44" fillId="0" borderId="19" xfId="0" applyFont="1" applyBorder="1" applyAlignment="1" applyProtection="1">
      <alignment horizontal="center" vertical="center"/>
    </xf>
    <xf numFmtId="0" fontId="44" fillId="0" borderId="19" xfId="0" applyFont="1" applyBorder="1" applyAlignment="1" applyProtection="1">
      <alignment horizontal="center" vertical="center"/>
    </xf>
    <xf numFmtId="0" fontId="44" fillId="0" borderId="19" xfId="0" applyFont="1" applyBorder="1" applyAlignment="1" applyProtection="1">
      <alignment horizontal="center" vertical="center"/>
      <protection hidden="1"/>
    </xf>
    <xf numFmtId="0" fontId="44" fillId="0" borderId="61" xfId="0" applyFont="1" applyBorder="1" applyAlignment="1" applyProtection="1">
      <alignment vertical="center" wrapText="1"/>
      <protection locked="0"/>
    </xf>
    <xf numFmtId="0" fontId="44" fillId="18" borderId="61" xfId="0" applyFont="1" applyFill="1" applyBorder="1" applyAlignment="1" applyProtection="1">
      <alignment vertical="center" wrapText="1"/>
      <protection locked="0"/>
    </xf>
    <xf numFmtId="0" fontId="44" fillId="0" borderId="61" xfId="0" applyFont="1" applyFill="1" applyBorder="1" applyAlignment="1" applyProtection="1">
      <alignment vertical="center" wrapText="1"/>
      <protection hidden="1"/>
    </xf>
    <xf numFmtId="9" fontId="44" fillId="0" borderId="61" xfId="0" applyNumberFormat="1" applyFont="1" applyBorder="1" applyAlignment="1" applyProtection="1">
      <alignment vertical="center" wrapText="1"/>
      <protection hidden="1"/>
    </xf>
    <xf numFmtId="0" fontId="44" fillId="0" borderId="61" xfId="0" applyFont="1" applyBorder="1" applyAlignment="1" applyProtection="1">
      <alignment vertical="center"/>
      <protection hidden="1"/>
    </xf>
    <xf numFmtId="0" fontId="44" fillId="0" borderId="62" xfId="0" applyFont="1" applyBorder="1" applyAlignment="1" applyProtection="1">
      <alignment vertical="center" wrapText="1"/>
      <protection locked="0"/>
    </xf>
    <xf numFmtId="0" fontId="44" fillId="18" borderId="62" xfId="0" applyFont="1" applyFill="1" applyBorder="1" applyAlignment="1" applyProtection="1">
      <alignment vertical="center" wrapText="1"/>
      <protection locked="0"/>
    </xf>
    <xf numFmtId="9" fontId="44" fillId="0" borderId="62" xfId="0" applyNumberFormat="1" applyFont="1" applyBorder="1" applyAlignment="1" applyProtection="1">
      <alignment vertical="center" wrapText="1"/>
      <protection hidden="1"/>
    </xf>
    <xf numFmtId="0" fontId="44" fillId="0" borderId="20" xfId="0" applyFont="1" applyBorder="1" applyAlignment="1" applyProtection="1">
      <alignment vertical="center" wrapText="1"/>
      <protection locked="0"/>
    </xf>
    <xf numFmtId="0" fontId="44" fillId="18" borderId="20" xfId="0" applyFont="1" applyFill="1" applyBorder="1" applyAlignment="1" applyProtection="1">
      <alignment vertical="center" wrapText="1"/>
      <protection locked="0"/>
    </xf>
    <xf numFmtId="9" fontId="44" fillId="0" borderId="20" xfId="0" applyNumberFormat="1" applyFont="1" applyBorder="1" applyAlignment="1" applyProtection="1">
      <alignment vertical="center" wrapText="1"/>
      <protection hidden="1"/>
    </xf>
    <xf numFmtId="0" fontId="44" fillId="0" borderId="61" xfId="0" applyFont="1" applyBorder="1" applyAlignment="1" applyProtection="1">
      <alignment horizontal="center" vertical="center"/>
      <protection locked="0"/>
    </xf>
    <xf numFmtId="0" fontId="44" fillId="0" borderId="61" xfId="0" applyFont="1" applyFill="1" applyBorder="1" applyAlignment="1" applyProtection="1">
      <alignment horizontal="center" vertical="center" wrapText="1"/>
      <protection hidden="1"/>
    </xf>
    <xf numFmtId="9" fontId="44" fillId="0" borderId="61" xfId="0" applyNumberFormat="1" applyFont="1" applyBorder="1" applyAlignment="1" applyProtection="1">
      <alignment horizontal="center" vertical="center" wrapText="1"/>
      <protection hidden="1"/>
    </xf>
    <xf numFmtId="9" fontId="44" fillId="0" borderId="61" xfId="0" applyNumberFormat="1" applyFont="1" applyBorder="1" applyAlignment="1" applyProtection="1">
      <alignment horizontal="center" vertical="center" wrapText="1"/>
      <protection locked="0"/>
    </xf>
    <xf numFmtId="0" fontId="44" fillId="0" borderId="62" xfId="0" applyFont="1" applyBorder="1" applyAlignment="1" applyProtection="1">
      <alignment horizontal="center" vertical="center"/>
      <protection locked="0"/>
    </xf>
    <xf numFmtId="0" fontId="44" fillId="0" borderId="20" xfId="0" applyFont="1" applyBorder="1" applyAlignment="1" applyProtection="1">
      <alignment horizontal="center" vertical="center"/>
      <protection locked="0"/>
    </xf>
    <xf numFmtId="0" fontId="44" fillId="0" borderId="61" xfId="0" applyFont="1" applyBorder="1" applyAlignment="1" applyProtection="1">
      <alignment horizontal="center" vertical="center"/>
      <protection locked="0"/>
    </xf>
    <xf numFmtId="0" fontId="44" fillId="0" borderId="19" xfId="0" applyFont="1" applyBorder="1" applyAlignment="1" applyProtection="1">
      <alignment horizontal="center" vertical="center"/>
    </xf>
    <xf numFmtId="0" fontId="44" fillId="0" borderId="61" xfId="0" applyFont="1" applyFill="1" applyBorder="1" applyAlignment="1" applyProtection="1">
      <alignment horizontal="center" vertical="center" wrapText="1"/>
      <protection hidden="1"/>
    </xf>
    <xf numFmtId="0" fontId="2" fillId="3" borderId="19" xfId="0" applyFont="1" applyFill="1" applyBorder="1" applyAlignment="1">
      <alignment horizontal="center" vertical="center" wrapText="1"/>
    </xf>
    <xf numFmtId="9" fontId="44" fillId="0" borderId="62" xfId="0" applyNumberFormat="1" applyFont="1" applyBorder="1" applyAlignment="1" applyProtection="1">
      <alignment horizontal="center" vertical="center" wrapText="1"/>
      <protection hidden="1"/>
    </xf>
    <xf numFmtId="0" fontId="2" fillId="0" borderId="19" xfId="0" applyFont="1" applyBorder="1" applyAlignment="1" applyProtection="1">
      <alignment horizontal="center" vertical="center"/>
    </xf>
    <xf numFmtId="9" fontId="44" fillId="0" borderId="20" xfId="0" applyNumberFormat="1" applyFont="1" applyBorder="1" applyAlignment="1" applyProtection="1">
      <alignment horizontal="center" vertical="center" wrapText="1"/>
      <protection hidden="1"/>
    </xf>
    <xf numFmtId="0" fontId="55" fillId="0" borderId="19" xfId="0" applyFont="1" applyBorder="1" applyAlignment="1" applyProtection="1">
      <alignment horizontal="center" vertical="center" wrapText="1"/>
      <protection locked="0"/>
    </xf>
    <xf numFmtId="9" fontId="36" fillId="0" borderId="19" xfId="0" applyNumberFormat="1" applyFont="1" applyBorder="1" applyAlignment="1" applyProtection="1">
      <alignment horizontal="center" vertical="center" wrapText="1"/>
      <protection hidden="1"/>
    </xf>
    <xf numFmtId="0" fontId="36" fillId="0" borderId="19" xfId="0" applyFont="1" applyBorder="1" applyAlignment="1" applyProtection="1">
      <alignment horizontal="center" vertical="center"/>
      <protection hidden="1"/>
    </xf>
    <xf numFmtId="9" fontId="36" fillId="0" borderId="62" xfId="0" applyNumberFormat="1" applyFont="1" applyBorder="1" applyAlignment="1" applyProtection="1">
      <alignment vertical="center" wrapText="1"/>
      <protection hidden="1"/>
    </xf>
    <xf numFmtId="9" fontId="36" fillId="0" borderId="61" xfId="0" applyNumberFormat="1" applyFont="1" applyBorder="1" applyAlignment="1" applyProtection="1">
      <alignment horizontal="center" vertical="center" wrapText="1"/>
      <protection hidden="1"/>
    </xf>
    <xf numFmtId="0" fontId="55" fillId="3" borderId="19" xfId="0" applyFont="1" applyFill="1" applyBorder="1" applyAlignment="1">
      <alignment horizontal="center" vertical="center" wrapText="1"/>
    </xf>
    <xf numFmtId="0" fontId="2" fillId="0" borderId="19" xfId="0" applyFont="1" applyFill="1" applyBorder="1" applyAlignment="1" applyProtection="1">
      <alignment horizontal="center" vertical="center"/>
    </xf>
    <xf numFmtId="0" fontId="55" fillId="0" borderId="19" xfId="0" applyFont="1" applyFill="1" applyBorder="1" applyAlignment="1" applyProtection="1">
      <alignment horizontal="center" vertical="center" wrapText="1"/>
      <protection locked="0"/>
    </xf>
    <xf numFmtId="0" fontId="55" fillId="0" borderId="61" xfId="0" applyFont="1" applyBorder="1" applyAlignment="1" applyProtection="1">
      <alignment horizontal="center" vertical="center"/>
      <protection locked="0"/>
    </xf>
    <xf numFmtId="0" fontId="61" fillId="0" borderId="0" xfId="0" applyFont="1" applyBorder="1" applyAlignment="1">
      <alignment horizontal="center" vertical="center" wrapText="1"/>
    </xf>
    <xf numFmtId="0" fontId="62" fillId="9" borderId="19" xfId="0" applyFont="1" applyFill="1" applyBorder="1" applyAlignment="1">
      <alignment horizontal="center" vertical="center" wrapText="1"/>
    </xf>
    <xf numFmtId="0" fontId="63" fillId="12" borderId="19" xfId="0" applyFont="1" applyFill="1" applyBorder="1" applyAlignment="1">
      <alignment horizontal="center" vertical="center" wrapText="1"/>
    </xf>
    <xf numFmtId="0" fontId="53" fillId="12" borderId="19" xfId="0" applyFont="1" applyFill="1" applyBorder="1" applyAlignment="1">
      <alignment horizontal="center" vertical="center"/>
    </xf>
    <xf numFmtId="0" fontId="62" fillId="13" borderId="19" xfId="0" applyFont="1" applyFill="1" applyBorder="1" applyAlignment="1">
      <alignment horizontal="center" vertical="center" wrapText="1"/>
    </xf>
    <xf numFmtId="49" fontId="62" fillId="9" borderId="19" xfId="0" applyNumberFormat="1" applyFont="1" applyFill="1" applyBorder="1" applyAlignment="1">
      <alignment horizontal="center" vertical="center" wrapText="1"/>
    </xf>
    <xf numFmtId="0" fontId="62" fillId="12" borderId="19" xfId="0" applyFont="1" applyFill="1" applyBorder="1" applyAlignment="1">
      <alignment horizontal="center" vertical="center" wrapText="1"/>
    </xf>
    <xf numFmtId="0" fontId="54" fillId="9" borderId="19" xfId="0" applyFont="1" applyFill="1" applyBorder="1" applyAlignment="1">
      <alignment horizontal="center" vertical="center"/>
    </xf>
    <xf numFmtId="49" fontId="62" fillId="13" borderId="19" xfId="0" applyNumberFormat="1" applyFont="1" applyFill="1" applyBorder="1" applyAlignment="1">
      <alignment horizontal="center" vertical="center" wrapText="1"/>
    </xf>
    <xf numFmtId="0" fontId="54" fillId="13" borderId="19" xfId="0" applyFont="1" applyFill="1" applyBorder="1" applyAlignment="1">
      <alignment horizontal="center" vertical="center"/>
    </xf>
    <xf numFmtId="0" fontId="62" fillId="7" borderId="19" xfId="0" applyFont="1" applyFill="1" applyBorder="1" applyAlignment="1">
      <alignment horizontal="center" vertical="center" wrapText="1"/>
    </xf>
    <xf numFmtId="0" fontId="64" fillId="13" borderId="19" xfId="0" applyFont="1" applyFill="1" applyBorder="1" applyAlignment="1">
      <alignment horizontal="center" vertical="center" wrapText="1"/>
    </xf>
    <xf numFmtId="0" fontId="54" fillId="20" borderId="19" xfId="0" applyFont="1" applyFill="1" applyBorder="1" applyAlignment="1">
      <alignment horizontal="center" vertical="center"/>
    </xf>
    <xf numFmtId="0" fontId="61" fillId="0" borderId="0" xfId="0" applyFont="1" applyBorder="1"/>
    <xf numFmtId="0" fontId="65" fillId="0" borderId="0" xfId="0" applyFont="1" applyBorder="1" applyAlignment="1">
      <alignment horizontal="center" vertical="center"/>
    </xf>
    <xf numFmtId="0" fontId="66" fillId="19" borderId="19" xfId="0" applyFont="1" applyFill="1" applyBorder="1" applyAlignment="1">
      <alignment horizontal="center" vertical="center"/>
    </xf>
    <xf numFmtId="0" fontId="67" fillId="0" borderId="19" xfId="0" applyFont="1" applyBorder="1" applyAlignment="1">
      <alignment horizontal="center" vertical="center"/>
    </xf>
    <xf numFmtId="0" fontId="67" fillId="9" borderId="19" xfId="0" applyFont="1" applyFill="1" applyBorder="1" applyAlignment="1">
      <alignment horizontal="center" vertical="center"/>
    </xf>
    <xf numFmtId="0" fontId="67" fillId="0" borderId="19" xfId="0" applyFont="1" applyFill="1" applyBorder="1" applyAlignment="1">
      <alignment horizontal="center" vertical="center"/>
    </xf>
    <xf numFmtId="0" fontId="67" fillId="13" borderId="19" xfId="0" applyFont="1" applyFill="1" applyBorder="1" applyAlignment="1">
      <alignment horizontal="center" vertical="center"/>
    </xf>
    <xf numFmtId="0" fontId="68" fillId="3" borderId="0" xfId="0" applyFont="1" applyFill="1"/>
    <xf numFmtId="0" fontId="69" fillId="3" borderId="0" xfId="0" applyFont="1" applyFill="1"/>
    <xf numFmtId="0" fontId="52" fillId="16" borderId="72" xfId="8" applyFont="1" applyFill="1" applyAlignment="1">
      <alignment horizontal="center" vertical="center" wrapText="1"/>
    </xf>
    <xf numFmtId="9" fontId="70" fillId="0" borderId="19" xfId="0" applyNumberFormat="1" applyFont="1" applyBorder="1" applyAlignment="1" applyProtection="1">
      <alignment horizontal="center" vertical="center" wrapText="1"/>
      <protection locked="0"/>
    </xf>
    <xf numFmtId="9" fontId="70" fillId="0" borderId="62" xfId="0" applyNumberFormat="1" applyFont="1" applyBorder="1" applyAlignment="1" applyProtection="1">
      <alignment horizontal="center" vertical="center" wrapText="1"/>
      <protection locked="0"/>
    </xf>
    <xf numFmtId="9" fontId="70" fillId="0" borderId="61" xfId="0" applyNumberFormat="1" applyFont="1" applyBorder="1" applyAlignment="1" applyProtection="1">
      <alignment horizontal="center" vertical="center" wrapText="1"/>
      <protection locked="0"/>
    </xf>
    <xf numFmtId="9" fontId="72" fillId="0" borderId="61" xfId="0" applyNumberFormat="1" applyFont="1" applyBorder="1" applyAlignment="1" applyProtection="1">
      <alignment horizontal="center" vertical="center" wrapText="1"/>
      <protection locked="0"/>
    </xf>
    <xf numFmtId="0" fontId="71" fillId="0" borderId="19" xfId="0" applyFont="1" applyBorder="1" applyAlignment="1" applyProtection="1">
      <alignment horizontal="center" vertical="center" wrapText="1"/>
      <protection locked="0"/>
    </xf>
    <xf numFmtId="14" fontId="70" fillId="0" borderId="19" xfId="0" applyNumberFormat="1" applyFont="1" applyBorder="1" applyAlignment="1" applyProtection="1">
      <alignment horizontal="center" vertical="center" wrapText="1"/>
      <protection locked="0"/>
    </xf>
    <xf numFmtId="0" fontId="70" fillId="0" borderId="19" xfId="0" applyFont="1" applyBorder="1" applyAlignment="1" applyProtection="1">
      <alignment horizontal="center" vertical="center" wrapText="1"/>
      <protection locked="0"/>
    </xf>
    <xf numFmtId="0" fontId="70" fillId="3" borderId="19" xfId="0" applyFont="1" applyFill="1" applyBorder="1" applyAlignment="1">
      <alignment horizontal="center" vertical="center" wrapText="1"/>
    </xf>
    <xf numFmtId="0" fontId="71" fillId="0" borderId="19" xfId="0" applyFont="1" applyBorder="1" applyAlignment="1" applyProtection="1">
      <alignment horizontal="center" vertical="center"/>
      <protection locked="0"/>
    </xf>
    <xf numFmtId="0" fontId="72" fillId="0" borderId="19" xfId="0" applyFont="1" applyBorder="1" applyAlignment="1" applyProtection="1">
      <alignment horizontal="center" vertical="center" wrapText="1"/>
      <protection locked="0"/>
    </xf>
    <xf numFmtId="0" fontId="71" fillId="0" borderId="19" xfId="0" applyFont="1" applyFill="1" applyBorder="1" applyAlignment="1" applyProtection="1">
      <alignment horizontal="center" vertical="center" wrapText="1"/>
      <protection hidden="1"/>
    </xf>
    <xf numFmtId="0" fontId="73" fillId="0" borderId="19" xfId="0" applyFont="1" applyFill="1" applyBorder="1" applyAlignment="1" applyProtection="1">
      <alignment horizontal="center" vertical="center" wrapText="1"/>
      <protection hidden="1"/>
    </xf>
    <xf numFmtId="0" fontId="73" fillId="0" borderId="61" xfId="0" applyFont="1" applyFill="1" applyBorder="1" applyAlignment="1" applyProtection="1">
      <alignment horizontal="center" vertical="center" wrapText="1"/>
      <protection hidden="1"/>
    </xf>
    <xf numFmtId="0" fontId="71" fillId="0" borderId="62" xfId="0" applyFont="1" applyFill="1" applyBorder="1" applyAlignment="1" applyProtection="1">
      <alignment horizontal="center" vertical="center" wrapText="1"/>
      <protection hidden="1"/>
    </xf>
    <xf numFmtId="0" fontId="71" fillId="0" borderId="61" xfId="0" applyFont="1" applyFill="1" applyBorder="1" applyAlignment="1" applyProtection="1">
      <alignment horizontal="center" vertical="center" wrapText="1"/>
      <protection hidden="1"/>
    </xf>
    <xf numFmtId="9" fontId="71" fillId="0" borderId="19" xfId="0" applyNumberFormat="1" applyFont="1" applyBorder="1" applyAlignment="1" applyProtection="1">
      <alignment vertical="center" wrapText="1"/>
      <protection hidden="1"/>
    </xf>
    <xf numFmtId="9" fontId="71" fillId="0" borderId="62" xfId="0" applyNumberFormat="1" applyFont="1" applyBorder="1" applyAlignment="1" applyProtection="1">
      <alignment vertical="center" wrapText="1"/>
      <protection hidden="1"/>
    </xf>
    <xf numFmtId="9" fontId="73" fillId="0" borderId="61" xfId="0" applyNumberFormat="1" applyFont="1" applyBorder="1" applyAlignment="1" applyProtection="1">
      <alignment vertical="center" wrapText="1"/>
      <protection hidden="1"/>
    </xf>
    <xf numFmtId="9" fontId="71" fillId="0" borderId="61" xfId="0" applyNumberFormat="1" applyFont="1" applyBorder="1" applyAlignment="1" applyProtection="1">
      <alignment vertical="center" wrapText="1"/>
      <protection hidden="1"/>
    </xf>
    <xf numFmtId="9" fontId="73" fillId="0" borderId="19" xfId="0" applyNumberFormat="1" applyFont="1" applyBorder="1" applyAlignment="1" applyProtection="1">
      <alignment vertical="center" wrapText="1"/>
      <protection hidden="1"/>
    </xf>
    <xf numFmtId="0" fontId="71" fillId="0" borderId="19" xfId="0" applyFont="1" applyBorder="1" applyAlignment="1" applyProtection="1">
      <alignment horizontal="center" vertical="center"/>
      <protection hidden="1"/>
    </xf>
    <xf numFmtId="0" fontId="73" fillId="0" borderId="19" xfId="0" applyFont="1" applyBorder="1" applyAlignment="1" applyProtection="1">
      <alignment horizontal="center" vertical="center"/>
      <protection hidden="1"/>
    </xf>
    <xf numFmtId="0" fontId="70" fillId="0" borderId="19" xfId="0" applyFont="1" applyFill="1" applyBorder="1" applyAlignment="1" applyProtection="1">
      <alignment horizontal="center" vertical="center" wrapText="1"/>
      <protection locked="0"/>
    </xf>
    <xf numFmtId="0" fontId="70" fillId="0" borderId="61" xfId="0" applyFont="1" applyBorder="1" applyAlignment="1" applyProtection="1">
      <alignment horizontal="center" vertical="center"/>
      <protection locked="0"/>
    </xf>
    <xf numFmtId="0" fontId="70" fillId="0" borderId="61" xfId="0" applyFont="1" applyBorder="1" applyAlignment="1" applyProtection="1">
      <alignment horizontal="center" vertical="center" wrapText="1"/>
      <protection locked="0"/>
    </xf>
    <xf numFmtId="0" fontId="70" fillId="0" borderId="19" xfId="0" applyFont="1" applyFill="1" applyBorder="1" applyAlignment="1" applyProtection="1">
      <alignment horizontal="justify" vertical="center" wrapText="1"/>
      <protection locked="0"/>
    </xf>
    <xf numFmtId="0" fontId="70" fillId="0" borderId="19" xfId="0" applyFont="1" applyFill="1" applyBorder="1" applyAlignment="1" applyProtection="1">
      <alignment horizontal="left" vertical="center" wrapText="1"/>
      <protection locked="0"/>
    </xf>
    <xf numFmtId="0" fontId="44" fillId="0" borderId="19" xfId="0" applyFont="1" applyBorder="1" applyAlignment="1" applyProtection="1">
      <alignment horizontal="left" vertical="center"/>
    </xf>
    <xf numFmtId="0" fontId="44" fillId="0" borderId="19" xfId="0" applyFont="1" applyBorder="1" applyAlignment="1" applyProtection="1">
      <alignment horizontal="left" vertical="center" wrapText="1"/>
      <protection locked="0"/>
    </xf>
    <xf numFmtId="0" fontId="44" fillId="18" borderId="19" xfId="0" applyFont="1" applyFill="1" applyBorder="1" applyAlignment="1" applyProtection="1">
      <alignment horizontal="left" vertical="center" wrapText="1"/>
      <protection locked="0"/>
    </xf>
    <xf numFmtId="0" fontId="44" fillId="0" borderId="19" xfId="0" applyFont="1" applyBorder="1" applyAlignment="1" applyProtection="1">
      <alignment horizontal="left" vertical="center"/>
      <protection locked="0"/>
    </xf>
    <xf numFmtId="0" fontId="44" fillId="0" borderId="19" xfId="0" applyFont="1" applyFill="1" applyBorder="1" applyAlignment="1" applyProtection="1">
      <alignment horizontal="left" vertical="center" wrapText="1"/>
      <protection hidden="1"/>
    </xf>
    <xf numFmtId="9" fontId="44" fillId="0" borderId="19" xfId="0" applyNumberFormat="1" applyFont="1" applyBorder="1" applyAlignment="1" applyProtection="1">
      <alignment horizontal="left" vertical="center" wrapText="1"/>
      <protection hidden="1"/>
    </xf>
    <xf numFmtId="9"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protection hidden="1"/>
    </xf>
    <xf numFmtId="9" fontId="72" fillId="0" borderId="19" xfId="0" applyNumberFormat="1" applyFont="1" applyBorder="1" applyAlignment="1" applyProtection="1">
      <alignment horizontal="center" vertical="center" wrapText="1"/>
      <protection locked="0"/>
    </xf>
    <xf numFmtId="0" fontId="72" fillId="0" borderId="61" xfId="0" applyFont="1" applyBorder="1" applyAlignment="1" applyProtection="1">
      <alignment horizontal="center" vertical="center"/>
      <protection locked="0"/>
    </xf>
    <xf numFmtId="0" fontId="72" fillId="0" borderId="19" xfId="0" applyFont="1" applyBorder="1" applyAlignment="1" applyProtection="1">
      <alignment horizontal="center" vertical="center"/>
      <protection locked="0"/>
    </xf>
    <xf numFmtId="0" fontId="55" fillId="18" borderId="19" xfId="0" applyFont="1" applyFill="1" applyBorder="1" applyAlignment="1" applyProtection="1">
      <alignment horizontal="center" vertical="center" wrapText="1"/>
      <protection locked="0"/>
    </xf>
    <xf numFmtId="0" fontId="55" fillId="17" borderId="19" xfId="0" applyFont="1" applyFill="1" applyBorder="1" applyAlignment="1" applyProtection="1">
      <alignment horizontal="center" vertical="center" wrapText="1"/>
      <protection locked="0"/>
    </xf>
    <xf numFmtId="0" fontId="44" fillId="0" borderId="19" xfId="0" applyFont="1" applyBorder="1" applyAlignment="1" applyProtection="1">
      <alignment horizontal="center" vertical="center" wrapText="1"/>
      <protection hidden="1"/>
    </xf>
    <xf numFmtId="0" fontId="70" fillId="0" borderId="19" xfId="0" applyNumberFormat="1" applyFont="1" applyBorder="1" applyAlignment="1" applyProtection="1">
      <alignment horizontal="center" vertical="center" wrapText="1"/>
      <protection locked="0"/>
    </xf>
    <xf numFmtId="0" fontId="70" fillId="9" borderId="19" xfId="0" applyFont="1" applyFill="1" applyBorder="1" applyAlignment="1" applyProtection="1">
      <alignment horizontal="center" vertical="center" wrapText="1"/>
      <protection locked="0"/>
    </xf>
    <xf numFmtId="0" fontId="44" fillId="0" borderId="19" xfId="0" applyFont="1" applyBorder="1" applyAlignment="1" applyProtection="1">
      <alignment horizontal="center" vertical="center"/>
    </xf>
    <xf numFmtId="9" fontId="2" fillId="0" borderId="61" xfId="0" applyNumberFormat="1" applyFont="1" applyBorder="1" applyAlignment="1" applyProtection="1">
      <alignment horizontal="center" vertical="center" wrapText="1"/>
      <protection locked="0"/>
    </xf>
    <xf numFmtId="0" fontId="47" fillId="3" borderId="50" xfId="2" applyFont="1" applyFill="1" applyBorder="1" applyAlignment="1" applyProtection="1">
      <alignment horizontal="justify" vertical="center" wrapText="1"/>
    </xf>
    <xf numFmtId="0" fontId="47" fillId="3" borderId="51" xfId="2" applyFont="1" applyFill="1" applyBorder="1" applyAlignment="1" applyProtection="1">
      <alignment horizontal="justify" vertical="center" wrapText="1"/>
    </xf>
    <xf numFmtId="0" fontId="46" fillId="3" borderId="57" xfId="0" applyFont="1" applyFill="1" applyBorder="1" applyAlignment="1" applyProtection="1">
      <alignment horizontal="left" vertical="center" wrapText="1"/>
    </xf>
    <xf numFmtId="0" fontId="46" fillId="3" borderId="58" xfId="0" applyFont="1" applyFill="1" applyBorder="1" applyAlignment="1" applyProtection="1">
      <alignment horizontal="left" vertical="center" wrapText="1"/>
    </xf>
    <xf numFmtId="0" fontId="46" fillId="3" borderId="44" xfId="3" applyFont="1" applyFill="1" applyBorder="1" applyAlignment="1" applyProtection="1">
      <alignment horizontal="left" vertical="top" wrapText="1" readingOrder="1"/>
    </xf>
    <xf numFmtId="0" fontId="46" fillId="3" borderId="45" xfId="3" applyFont="1" applyFill="1" applyBorder="1" applyAlignment="1" applyProtection="1">
      <alignment horizontal="left" vertical="top" wrapText="1" readingOrder="1"/>
    </xf>
    <xf numFmtId="0" fontId="47" fillId="3" borderId="46" xfId="2" applyFont="1" applyFill="1" applyBorder="1" applyAlignment="1" applyProtection="1">
      <alignment horizontal="justify" vertical="center" wrapText="1"/>
    </xf>
    <xf numFmtId="0" fontId="47" fillId="3" borderId="47" xfId="2" applyFont="1" applyFill="1" applyBorder="1" applyAlignment="1" applyProtection="1">
      <alignment horizontal="justify" vertical="center" wrapText="1"/>
    </xf>
    <xf numFmtId="0" fontId="46" fillId="3" borderId="48" xfId="0" applyFont="1" applyFill="1" applyBorder="1" applyAlignment="1" applyProtection="1">
      <alignment horizontal="left" vertical="center" wrapText="1"/>
    </xf>
    <xf numFmtId="0" fontId="46" fillId="3" borderId="49" xfId="0" applyFont="1" applyFill="1" applyBorder="1" applyAlignment="1" applyProtection="1">
      <alignment horizontal="left" vertical="center" wrapText="1"/>
    </xf>
    <xf numFmtId="0" fontId="41" fillId="3" borderId="5" xfId="2" applyFont="1" applyFill="1" applyBorder="1" applyAlignment="1" applyProtection="1">
      <alignment horizontal="left" vertical="top" wrapText="1"/>
    </xf>
    <xf numFmtId="0" fontId="41" fillId="3" borderId="0" xfId="2" applyFont="1" applyFill="1" applyBorder="1" applyAlignment="1" applyProtection="1">
      <alignment horizontal="left" vertical="top" wrapText="1"/>
    </xf>
    <xf numFmtId="0" fontId="41" fillId="3" borderId="6" xfId="2" applyFont="1" applyFill="1" applyBorder="1" applyAlignment="1" applyProtection="1">
      <alignment horizontal="left" vertical="top" wrapText="1"/>
    </xf>
    <xf numFmtId="0" fontId="46" fillId="3" borderId="59" xfId="0" applyFont="1" applyFill="1" applyBorder="1" applyAlignment="1" applyProtection="1">
      <alignment horizontal="left" vertical="center" wrapText="1"/>
    </xf>
    <xf numFmtId="0" fontId="46" fillId="3" borderId="60" xfId="0" applyFont="1" applyFill="1" applyBorder="1" applyAlignment="1" applyProtection="1">
      <alignment horizontal="left" vertical="center" wrapText="1"/>
    </xf>
    <xf numFmtId="0" fontId="47" fillId="3" borderId="52" xfId="0" applyFont="1" applyFill="1" applyBorder="1" applyAlignment="1" applyProtection="1">
      <alignment horizontal="justify" vertical="center" wrapText="1"/>
    </xf>
    <xf numFmtId="0" fontId="47" fillId="3" borderId="53" xfId="0" applyFont="1" applyFill="1" applyBorder="1" applyAlignment="1" applyProtection="1">
      <alignment horizontal="justify" vertical="center" wrapText="1"/>
    </xf>
    <xf numFmtId="0" fontId="42" fillId="14" borderId="34" xfId="2" applyFont="1" applyFill="1" applyBorder="1" applyAlignment="1" applyProtection="1">
      <alignment horizontal="center" vertical="center" wrapText="1"/>
    </xf>
    <xf numFmtId="0" fontId="42" fillId="14" borderId="35" xfId="2" applyFont="1" applyFill="1" applyBorder="1" applyAlignment="1" applyProtection="1">
      <alignment horizontal="center" vertical="center" wrapText="1"/>
    </xf>
    <xf numFmtId="0" fontId="42" fillId="14" borderId="36" xfId="2" applyFont="1" applyFill="1" applyBorder="1" applyAlignment="1" applyProtection="1">
      <alignment horizontal="center" vertical="center" wrapText="1"/>
    </xf>
    <xf numFmtId="0" fontId="41" fillId="0" borderId="5" xfId="2" quotePrefix="1" applyFont="1" applyBorder="1" applyAlignment="1" applyProtection="1">
      <alignment horizontal="left" vertical="center" wrapText="1"/>
    </xf>
    <xf numFmtId="0" fontId="41" fillId="0" borderId="0" xfId="2" quotePrefix="1" applyFont="1" applyBorder="1" applyAlignment="1" applyProtection="1">
      <alignment horizontal="left" vertical="center" wrapText="1"/>
    </xf>
    <xf numFmtId="0" fontId="41" fillId="0" borderId="6" xfId="2" quotePrefix="1" applyFont="1" applyBorder="1" applyAlignment="1" applyProtection="1">
      <alignment horizontal="left" vertical="center" wrapText="1"/>
    </xf>
    <xf numFmtId="0" fontId="41" fillId="0" borderId="54" xfId="2" quotePrefix="1" applyFont="1" applyBorder="1" applyAlignment="1" applyProtection="1">
      <alignment horizontal="left" vertical="center" wrapText="1"/>
    </xf>
    <xf numFmtId="0" fontId="41" fillId="0" borderId="55" xfId="2" quotePrefix="1" applyFont="1" applyBorder="1" applyAlignment="1" applyProtection="1">
      <alignment horizontal="left" vertical="center" wrapText="1"/>
    </xf>
    <xf numFmtId="0" fontId="41" fillId="0" borderId="56" xfId="2" quotePrefix="1" applyFont="1" applyBorder="1" applyAlignment="1" applyProtection="1">
      <alignment horizontal="left" vertical="center" wrapText="1"/>
    </xf>
    <xf numFmtId="0" fontId="43" fillId="3" borderId="37" xfId="2" quotePrefix="1" applyFont="1" applyFill="1" applyBorder="1" applyAlignment="1" applyProtection="1">
      <alignment horizontal="left" vertical="top" wrapText="1"/>
    </xf>
    <xf numFmtId="0" fontId="44" fillId="3" borderId="38" xfId="2" quotePrefix="1" applyFont="1" applyFill="1" applyBorder="1" applyAlignment="1" applyProtection="1">
      <alignment horizontal="left" vertical="top" wrapText="1"/>
    </xf>
    <xf numFmtId="0" fontId="44" fillId="3" borderId="39" xfId="2" quotePrefix="1" applyFont="1" applyFill="1" applyBorder="1" applyAlignment="1" applyProtection="1">
      <alignment horizontal="left" vertical="top" wrapText="1"/>
    </xf>
    <xf numFmtId="0" fontId="41" fillId="0" borderId="5" xfId="2" quotePrefix="1" applyFont="1" applyBorder="1" applyAlignment="1" applyProtection="1">
      <alignment horizontal="left" vertical="top" wrapText="1"/>
    </xf>
    <xf numFmtId="0" fontId="41" fillId="0" borderId="0" xfId="2" quotePrefix="1" applyFont="1" applyBorder="1" applyAlignment="1" applyProtection="1">
      <alignment horizontal="left" vertical="top" wrapText="1"/>
    </xf>
    <xf numFmtId="0" fontId="41" fillId="0" borderId="6" xfId="2" quotePrefix="1" applyFont="1" applyBorder="1" applyAlignment="1" applyProtection="1">
      <alignment horizontal="left" vertical="top" wrapText="1"/>
    </xf>
    <xf numFmtId="0" fontId="46" fillId="14" borderId="40" xfId="3" applyFont="1" applyFill="1" applyBorder="1" applyAlignment="1" applyProtection="1">
      <alignment horizontal="center" vertical="center" wrapText="1"/>
    </xf>
    <xf numFmtId="0" fontId="46" fillId="14" borderId="41" xfId="3" applyFont="1" applyFill="1" applyBorder="1" applyAlignment="1" applyProtection="1">
      <alignment horizontal="center" vertical="center" wrapText="1"/>
    </xf>
    <xf numFmtId="0" fontId="46" fillId="14" borderId="42" xfId="2" applyFont="1" applyFill="1" applyBorder="1" applyAlignment="1" applyProtection="1">
      <alignment horizontal="center" vertical="center"/>
    </xf>
    <xf numFmtId="0" fontId="46" fillId="14" borderId="43" xfId="2" applyFont="1" applyFill="1" applyBorder="1" applyAlignment="1" applyProtection="1">
      <alignment horizontal="center" vertical="center"/>
    </xf>
    <xf numFmtId="0" fontId="2" fillId="3" borderId="54" xfId="2" quotePrefix="1" applyFont="1" applyFill="1" applyBorder="1" applyAlignment="1" applyProtection="1">
      <alignment horizontal="justify" vertical="center" wrapText="1"/>
    </xf>
    <xf numFmtId="0" fontId="2" fillId="3" borderId="55" xfId="2" quotePrefix="1" applyFont="1" applyFill="1" applyBorder="1" applyAlignment="1" applyProtection="1">
      <alignment horizontal="justify" vertical="center" wrapText="1"/>
    </xf>
    <xf numFmtId="0" fontId="2" fillId="3" borderId="56" xfId="2" quotePrefix="1" applyFont="1" applyFill="1" applyBorder="1" applyAlignment="1" applyProtection="1">
      <alignment horizontal="justify" vertical="center" wrapText="1"/>
    </xf>
    <xf numFmtId="0" fontId="1" fillId="0" borderId="19" xfId="0" applyFont="1" applyBorder="1" applyAlignment="1">
      <alignment horizontal="center" vertical="center" wrapText="1"/>
    </xf>
    <xf numFmtId="0" fontId="56" fillId="17" borderId="19" xfId="0" applyFont="1" applyFill="1" applyBorder="1" applyAlignment="1">
      <alignment horizontal="center" vertical="center" wrapText="1"/>
    </xf>
    <xf numFmtId="0" fontId="44" fillId="0" borderId="19" xfId="0" applyFont="1" applyBorder="1" applyAlignment="1" applyProtection="1">
      <alignment horizontal="center" vertical="center"/>
    </xf>
    <xf numFmtId="0" fontId="74" fillId="3" borderId="19" xfId="0" applyFont="1" applyFill="1" applyBorder="1" applyAlignment="1">
      <alignment horizontal="center" vertical="center" wrapText="1"/>
    </xf>
    <xf numFmtId="0" fontId="74" fillId="3" borderId="67" xfId="0" applyFont="1" applyFill="1" applyBorder="1" applyAlignment="1">
      <alignment horizontal="center" vertical="center" wrapText="1"/>
    </xf>
    <xf numFmtId="0" fontId="74" fillId="3" borderId="55" xfId="0" applyFont="1" applyFill="1" applyBorder="1" applyAlignment="1">
      <alignment horizontal="center" vertical="center" wrapText="1"/>
    </xf>
    <xf numFmtId="0" fontId="74" fillId="3" borderId="68" xfId="0" applyFont="1" applyFill="1" applyBorder="1" applyAlignment="1">
      <alignment horizontal="center" vertical="center" wrapText="1"/>
    </xf>
    <xf numFmtId="0" fontId="74" fillId="3" borderId="69" xfId="0" applyFont="1" applyFill="1" applyBorder="1" applyAlignment="1">
      <alignment horizontal="center" vertical="center" wrapText="1"/>
    </xf>
    <xf numFmtId="0" fontId="74" fillId="3" borderId="70" xfId="0" applyFont="1" applyFill="1" applyBorder="1" applyAlignment="1">
      <alignment horizontal="center" vertical="center" wrapText="1"/>
    </xf>
    <xf numFmtId="0" fontId="74" fillId="3" borderId="71" xfId="0" applyFont="1" applyFill="1" applyBorder="1" applyAlignment="1">
      <alignment horizontal="center" vertical="center" wrapText="1"/>
    </xf>
    <xf numFmtId="0" fontId="56" fillId="16" borderId="19" xfId="0" applyFont="1" applyFill="1" applyBorder="1" applyAlignment="1">
      <alignment horizontal="center" vertical="center"/>
    </xf>
    <xf numFmtId="0" fontId="52" fillId="16" borderId="19" xfId="0" applyFont="1" applyFill="1" applyBorder="1" applyAlignment="1">
      <alignment horizontal="center" vertical="center"/>
    </xf>
    <xf numFmtId="0" fontId="56" fillId="17" borderId="19" xfId="0" applyFont="1" applyFill="1" applyBorder="1" applyAlignment="1">
      <alignment horizontal="center" vertical="center"/>
    </xf>
    <xf numFmtId="0" fontId="21" fillId="0" borderId="19" xfId="0" applyFont="1" applyFill="1" applyBorder="1" applyAlignment="1">
      <alignment horizontal="center" vertical="center"/>
    </xf>
    <xf numFmtId="0" fontId="76" fillId="17" borderId="19" xfId="0" applyFont="1" applyFill="1" applyBorder="1" applyAlignment="1">
      <alignment horizontal="center" vertical="center"/>
    </xf>
    <xf numFmtId="0" fontId="51" fillId="17" borderId="19" xfId="0" applyFont="1" applyFill="1" applyBorder="1" applyAlignment="1">
      <alignment horizontal="center" vertical="center"/>
    </xf>
    <xf numFmtId="0" fontId="51" fillId="17" borderId="61" xfId="0" applyFont="1" applyFill="1" applyBorder="1" applyAlignment="1">
      <alignment horizontal="center" vertical="center"/>
    </xf>
    <xf numFmtId="0" fontId="44" fillId="0" borderId="19" xfId="0" applyFont="1" applyBorder="1" applyAlignment="1" applyProtection="1">
      <alignment horizontal="center" vertical="center" wrapText="1"/>
      <protection locked="0"/>
    </xf>
    <xf numFmtId="0" fontId="44" fillId="0" borderId="19" xfId="0" applyFont="1" applyBorder="1" applyAlignment="1" applyProtection="1">
      <alignment horizontal="center" vertical="center"/>
      <protection locked="0"/>
    </xf>
    <xf numFmtId="0" fontId="44" fillId="0" borderId="19" xfId="0" applyFont="1" applyFill="1" applyBorder="1" applyAlignment="1" applyProtection="1">
      <alignment horizontal="center" vertical="center" wrapText="1"/>
      <protection hidden="1"/>
    </xf>
    <xf numFmtId="9" fontId="44" fillId="0" borderId="19" xfId="0" applyNumberFormat="1" applyFont="1" applyBorder="1" applyAlignment="1" applyProtection="1">
      <alignment horizontal="center" vertical="center" wrapText="1"/>
      <protection hidden="1"/>
    </xf>
    <xf numFmtId="0" fontId="44" fillId="0" borderId="19" xfId="0" applyFont="1" applyBorder="1" applyAlignment="1" applyProtection="1">
      <alignment horizontal="center" vertical="center"/>
      <protection hidden="1"/>
    </xf>
    <xf numFmtId="9" fontId="44" fillId="0" borderId="19" xfId="0" applyNumberFormat="1" applyFont="1" applyBorder="1" applyAlignment="1" applyProtection="1">
      <alignment horizontal="center" vertical="center" wrapText="1"/>
      <protection locked="0"/>
    </xf>
    <xf numFmtId="0" fontId="50" fillId="16" borderId="19" xfId="0" applyFont="1" applyFill="1" applyBorder="1" applyAlignment="1">
      <alignment horizontal="center" vertical="center" textRotation="90"/>
    </xf>
    <xf numFmtId="0" fontId="44" fillId="18" borderId="19" xfId="0" applyFont="1" applyFill="1" applyBorder="1" applyAlignment="1" applyProtection="1">
      <alignment horizontal="center" vertical="center" wrapText="1"/>
      <protection locked="0"/>
    </xf>
    <xf numFmtId="0" fontId="56" fillId="16" borderId="19" xfId="0" applyFont="1" applyFill="1" applyBorder="1" applyAlignment="1">
      <alignment horizontal="center" vertical="center" wrapText="1"/>
    </xf>
    <xf numFmtId="0" fontId="52" fillId="17" borderId="19" xfId="0" applyFont="1" applyFill="1" applyBorder="1" applyAlignment="1">
      <alignment horizontal="center" vertical="center" textRotation="90" wrapText="1"/>
    </xf>
    <xf numFmtId="0" fontId="52" fillId="17" borderId="19" xfId="0" applyFont="1" applyFill="1" applyBorder="1" applyAlignment="1">
      <alignment horizontal="center" vertical="center" wrapText="1"/>
    </xf>
    <xf numFmtId="0" fontId="58" fillId="0" borderId="63" xfId="0" applyFont="1" applyBorder="1" applyAlignment="1">
      <alignment horizontal="center" vertical="center"/>
    </xf>
    <xf numFmtId="0" fontId="59" fillId="0" borderId="0" xfId="0" applyFont="1" applyBorder="1" applyAlignment="1">
      <alignment horizontal="center" vertical="center"/>
    </xf>
    <xf numFmtId="0" fontId="59" fillId="0" borderId="66" xfId="0" applyFont="1" applyBorder="1" applyAlignment="1">
      <alignment horizontal="center" vertical="center"/>
    </xf>
    <xf numFmtId="0" fontId="59" fillId="0" borderId="67" xfId="0" applyFont="1" applyBorder="1" applyAlignment="1">
      <alignment horizontal="center" vertical="center"/>
    </xf>
    <xf numFmtId="0" fontId="59" fillId="0" borderId="55" xfId="0" applyFont="1" applyBorder="1" applyAlignment="1">
      <alignment horizontal="center" vertical="center"/>
    </xf>
    <xf numFmtId="0" fontId="59" fillId="0" borderId="68" xfId="0" applyFont="1" applyBorder="1" applyAlignment="1">
      <alignment horizontal="center" vertical="center"/>
    </xf>
    <xf numFmtId="0" fontId="57" fillId="0" borderId="64" xfId="0" applyFont="1" applyFill="1" applyBorder="1" applyAlignment="1">
      <alignment horizontal="center" vertical="center" wrapText="1"/>
    </xf>
    <xf numFmtId="0" fontId="57" fillId="0" borderId="38" xfId="0" applyFont="1" applyFill="1" applyBorder="1" applyAlignment="1">
      <alignment horizontal="center" vertical="center" wrapText="1"/>
    </xf>
    <xf numFmtId="0" fontId="57" fillId="0" borderId="65" xfId="0" applyFont="1" applyFill="1" applyBorder="1" applyAlignment="1">
      <alignment horizontal="center" vertical="center" wrapText="1"/>
    </xf>
    <xf numFmtId="0" fontId="57" fillId="0" borderId="67" xfId="0" applyFont="1" applyFill="1" applyBorder="1" applyAlignment="1">
      <alignment horizontal="center" vertical="center" wrapText="1"/>
    </xf>
    <xf numFmtId="0" fontId="57" fillId="0" borderId="55" xfId="0" applyFont="1" applyFill="1" applyBorder="1" applyAlignment="1">
      <alignment horizontal="center" vertical="center" wrapText="1"/>
    </xf>
    <xf numFmtId="0" fontId="57" fillId="0" borderId="68" xfId="0" applyFont="1" applyFill="1" applyBorder="1" applyAlignment="1">
      <alignment horizontal="center" vertical="center" wrapText="1"/>
    </xf>
    <xf numFmtId="0" fontId="56" fillId="17" borderId="63" xfId="0" applyFont="1" applyFill="1" applyBorder="1" applyAlignment="1">
      <alignment horizontal="center" vertical="center" wrapText="1"/>
    </xf>
    <xf numFmtId="0" fontId="56" fillId="17" borderId="67" xfId="0" applyFont="1" applyFill="1" applyBorder="1" applyAlignment="1">
      <alignment horizontal="center" vertical="center" wrapText="1"/>
    </xf>
    <xf numFmtId="0" fontId="56" fillId="17" borderId="61" xfId="0" applyFont="1" applyFill="1" applyBorder="1" applyAlignment="1">
      <alignment horizontal="center" vertical="center" wrapText="1"/>
    </xf>
    <xf numFmtId="0" fontId="56" fillId="17" borderId="20" xfId="0" applyFont="1" applyFill="1" applyBorder="1" applyAlignment="1">
      <alignment horizontal="center" vertical="center" wrapText="1"/>
    </xf>
    <xf numFmtId="0" fontId="77" fillId="3" borderId="69" xfId="0" applyFont="1" applyFill="1" applyBorder="1" applyAlignment="1" applyProtection="1">
      <alignment horizontal="left" vertical="center"/>
      <protection locked="0"/>
    </xf>
    <xf numFmtId="0" fontId="77" fillId="3" borderId="70" xfId="0" applyFont="1" applyFill="1" applyBorder="1" applyAlignment="1" applyProtection="1">
      <alignment horizontal="left" vertical="center"/>
      <protection locked="0"/>
    </xf>
    <xf numFmtId="0" fontId="77" fillId="3" borderId="71" xfId="0" applyFont="1" applyFill="1" applyBorder="1" applyAlignment="1" applyProtection="1">
      <alignment horizontal="left" vertical="center"/>
      <protection locked="0"/>
    </xf>
    <xf numFmtId="0" fontId="76" fillId="17" borderId="69" xfId="0" applyFont="1" applyFill="1" applyBorder="1" applyAlignment="1">
      <alignment horizontal="center" vertical="center"/>
    </xf>
    <xf numFmtId="0" fontId="76" fillId="17" borderId="70" xfId="0" applyFont="1" applyFill="1" applyBorder="1" applyAlignment="1">
      <alignment horizontal="center" vertical="center"/>
    </xf>
    <xf numFmtId="0" fontId="76" fillId="17" borderId="71" xfId="0" applyFont="1" applyFill="1" applyBorder="1" applyAlignment="1">
      <alignment horizontal="center" vertical="center"/>
    </xf>
    <xf numFmtId="0" fontId="75" fillId="3" borderId="69" xfId="0" applyFont="1" applyFill="1" applyBorder="1" applyAlignment="1" applyProtection="1">
      <alignment horizontal="left" vertical="center"/>
      <protection locked="0"/>
    </xf>
    <xf numFmtId="0" fontId="75" fillId="3" borderId="70" xfId="0" applyFont="1" applyFill="1" applyBorder="1" applyAlignment="1" applyProtection="1">
      <alignment horizontal="left" vertical="center"/>
      <protection locked="0"/>
    </xf>
    <xf numFmtId="0" fontId="75" fillId="3" borderId="71" xfId="0" applyFont="1" applyFill="1" applyBorder="1" applyAlignment="1" applyProtection="1">
      <alignment horizontal="left" vertical="center"/>
      <protection locked="0"/>
    </xf>
    <xf numFmtId="0" fontId="75" fillId="3" borderId="19" xfId="0" applyFont="1" applyFill="1" applyBorder="1" applyAlignment="1" applyProtection="1">
      <alignment horizontal="left" vertical="center" wrapText="1"/>
      <protection locked="0"/>
    </xf>
    <xf numFmtId="0" fontId="1" fillId="0" borderId="19" xfId="0" applyFont="1" applyBorder="1" applyAlignment="1">
      <alignment horizontal="left" vertical="center" wrapText="1"/>
    </xf>
    <xf numFmtId="0" fontId="56" fillId="17" borderId="62" xfId="0" applyFont="1" applyFill="1" applyBorder="1" applyAlignment="1">
      <alignment horizontal="center" vertical="center" wrapText="1"/>
    </xf>
    <xf numFmtId="0" fontId="60" fillId="21" borderId="19" xfId="0" applyFont="1" applyFill="1" applyBorder="1" applyAlignment="1">
      <alignment horizontal="center"/>
    </xf>
    <xf numFmtId="0" fontId="60" fillId="21" borderId="19" xfId="0" applyFont="1" applyFill="1" applyBorder="1" applyAlignment="1">
      <alignment horizontal="center" vertical="center" textRotation="90"/>
    </xf>
    <xf numFmtId="0" fontId="17" fillId="10" borderId="0" xfId="0" applyFont="1" applyFill="1" applyAlignment="1">
      <alignment horizontal="center" vertical="center" textRotation="90" wrapText="1" readingOrder="1"/>
    </xf>
    <xf numFmtId="0" fontId="17" fillId="10" borderId="6" xfId="0" applyFont="1" applyFill="1" applyBorder="1" applyAlignment="1">
      <alignment horizontal="center" vertical="center" textRotation="90" wrapText="1" readingOrder="1"/>
    </xf>
    <xf numFmtId="0" fontId="19" fillId="12" borderId="11" xfId="0" applyFont="1" applyFill="1" applyBorder="1" applyAlignment="1">
      <alignment horizontal="center" vertical="center" wrapText="1" readingOrder="1"/>
    </xf>
    <xf numFmtId="0" fontId="19" fillId="12" borderId="12" xfId="0" applyFont="1" applyFill="1" applyBorder="1" applyAlignment="1">
      <alignment horizontal="center" vertical="center"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0"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1" borderId="11" xfId="0" applyFont="1" applyFill="1" applyBorder="1" applyAlignment="1">
      <alignment horizontal="center" vertical="center" wrapText="1" readingOrder="1"/>
    </xf>
    <xf numFmtId="0" fontId="19" fillId="11" borderId="12"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0"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3" borderId="11" xfId="0" applyFont="1" applyFill="1" applyBorder="1" applyAlignment="1">
      <alignment horizontal="center" vertical="center" wrapText="1" readingOrder="1"/>
    </xf>
    <xf numFmtId="0" fontId="19" fillId="13" borderId="12"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0"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5" borderId="11" xfId="0" applyFont="1" applyFill="1" applyBorder="1" applyAlignment="1">
      <alignment horizontal="center" vertical="center" wrapText="1" readingOrder="1"/>
    </xf>
    <xf numFmtId="0" fontId="19" fillId="5" borderId="12"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0"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6" fillId="0" borderId="3" xfId="0" applyFont="1" applyBorder="1" applyAlignment="1">
      <alignment horizontal="center"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16" fillId="0" borderId="8"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8" fillId="11" borderId="0" xfId="0" applyFont="1" applyFill="1" applyBorder="1" applyAlignment="1" applyProtection="1">
      <alignment horizontal="center" vertical="center" wrapText="1" readingOrder="1"/>
      <protection hidden="1"/>
    </xf>
    <xf numFmtId="0" fontId="18" fillId="11" borderId="3"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4" xfId="0" applyFont="1" applyFill="1" applyBorder="1" applyAlignment="1" applyProtection="1">
      <alignment horizontal="center" vertical="center" wrapText="1" readingOrder="1"/>
      <protection hidden="1"/>
    </xf>
    <xf numFmtId="0" fontId="17" fillId="10" borderId="0" xfId="0" applyFont="1" applyFill="1" applyAlignment="1">
      <alignment horizontal="center" vertical="center" wrapText="1" readingOrder="1"/>
    </xf>
    <xf numFmtId="0" fontId="16" fillId="0" borderId="0" xfId="0" applyFont="1" applyBorder="1" applyAlignment="1">
      <alignment horizontal="center" vertical="center"/>
    </xf>
    <xf numFmtId="0" fontId="16" fillId="0" borderId="10" xfId="0" applyFont="1" applyBorder="1" applyAlignment="1">
      <alignment horizontal="center" vertical="center" wrapText="1"/>
    </xf>
    <xf numFmtId="0" fontId="18" fillId="11" borderId="7"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0"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4"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0"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5" borderId="0"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4" xfId="0" applyFont="1" applyFill="1" applyBorder="1" applyAlignment="1" applyProtection="1">
      <alignment horizontal="center" wrapText="1" readingOrder="1"/>
      <protection hidden="1"/>
    </xf>
    <xf numFmtId="0" fontId="21" fillId="0" borderId="0" xfId="0" applyFont="1" applyAlignment="1">
      <alignment horizontal="center" vertical="center" wrapText="1"/>
    </xf>
    <xf numFmtId="0" fontId="20" fillId="0" borderId="0" xfId="0" applyFont="1" applyAlignment="1">
      <alignment horizontal="center" vertical="center"/>
    </xf>
    <xf numFmtId="0" fontId="37" fillId="0" borderId="0" xfId="0" applyFont="1" applyAlignment="1">
      <alignment horizontal="center" vertical="center"/>
    </xf>
    <xf numFmtId="0" fontId="35" fillId="15" borderId="21" xfId="0" applyFont="1" applyFill="1" applyBorder="1" applyAlignment="1">
      <alignment horizontal="center" vertical="center" wrapText="1" readingOrder="1"/>
    </xf>
    <xf numFmtId="0" fontId="35" fillId="15" borderId="22" xfId="0" applyFont="1" applyFill="1" applyBorder="1" applyAlignment="1">
      <alignment horizontal="center" vertical="center" wrapText="1" readingOrder="1"/>
    </xf>
    <xf numFmtId="0" fontId="35" fillId="15" borderId="33" xfId="0" applyFont="1" applyFill="1" applyBorder="1" applyAlignment="1">
      <alignment horizontal="center" vertical="center" wrapText="1" readingOrder="1"/>
    </xf>
    <xf numFmtId="0" fontId="30" fillId="3" borderId="0" xfId="0" applyFont="1" applyFill="1" applyBorder="1" applyAlignment="1">
      <alignment horizontal="justify" vertical="center" wrapText="1"/>
    </xf>
    <xf numFmtId="0" fontId="32" fillId="15" borderId="30" xfId="0" applyFont="1" applyFill="1" applyBorder="1" applyAlignment="1">
      <alignment horizontal="center" vertical="center" wrapText="1" readingOrder="1"/>
    </xf>
    <xf numFmtId="0" fontId="32" fillId="15" borderId="31" xfId="0" applyFont="1" applyFill="1" applyBorder="1" applyAlignment="1">
      <alignment horizontal="center" vertical="center" wrapText="1" readingOrder="1"/>
    </xf>
    <xf numFmtId="0" fontId="32" fillId="3" borderId="28" xfId="0" applyFont="1" applyFill="1" applyBorder="1" applyAlignment="1">
      <alignment horizontal="center" vertical="center" wrapText="1" readingOrder="1"/>
    </xf>
    <xf numFmtId="0" fontId="32" fillId="3" borderId="23" xfId="0" applyFont="1" applyFill="1" applyBorder="1" applyAlignment="1">
      <alignment horizontal="center" vertical="center" wrapText="1" readingOrder="1"/>
    </xf>
    <xf numFmtId="0" fontId="32" fillId="3" borderId="20" xfId="0" applyFont="1" applyFill="1" applyBorder="1" applyAlignment="1">
      <alignment horizontal="center" vertical="center" wrapText="1" readingOrder="1"/>
    </xf>
    <xf numFmtId="0" fontId="32" fillId="3" borderId="19" xfId="0" applyFont="1" applyFill="1" applyBorder="1" applyAlignment="1">
      <alignment horizontal="center" vertical="center" wrapText="1" readingOrder="1"/>
    </xf>
    <xf numFmtId="0" fontId="32" fillId="3" borderId="25" xfId="0" applyFont="1" applyFill="1" applyBorder="1" applyAlignment="1">
      <alignment horizontal="center" vertical="center" wrapText="1" readingOrder="1"/>
    </xf>
    <xf numFmtId="0" fontId="32" fillId="3" borderId="26" xfId="0" applyFont="1" applyFill="1" applyBorder="1" applyAlignment="1">
      <alignment horizontal="center" vertical="center" wrapText="1" readingOrder="1"/>
    </xf>
  </cellXfs>
  <cellStyles count="9">
    <cellStyle name="Normal" xfId="0" builtinId="0"/>
    <cellStyle name="Normal - Style1 2" xfId="2"/>
    <cellStyle name="Normal 10" xfId="5"/>
    <cellStyle name="Normal 11" xfId="6"/>
    <cellStyle name="Normal 2" xfId="4"/>
    <cellStyle name="Normal 2 2" xfId="3"/>
    <cellStyle name="Normal 7 3 2" xfId="7"/>
    <cellStyle name="Notas" xfId="8" builtinId="10"/>
    <cellStyle name="Porcentaje" xfId="1" builtinId="5"/>
  </cellStyles>
  <dxfs count="12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B2B2B2"/>
      <color rgb="FF055D06"/>
      <color rgb="FF0404C4"/>
      <color rgb="FF0C0C61"/>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299357</xdr:colOff>
      <xdr:row>0</xdr:row>
      <xdr:rowOff>160062</xdr:rowOff>
    </xdr:from>
    <xdr:to>
      <xdr:col>6</xdr:col>
      <xdr:colOff>671698</xdr:colOff>
      <xdr:row>3</xdr:row>
      <xdr:rowOff>492474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160062"/>
          <a:ext cx="9171214" cy="208773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7"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9"/>
  <sheetViews>
    <sheetView zoomScale="110" zoomScaleNormal="110" workbookViewId="0">
      <selection activeCell="C84" sqref="C84"/>
    </sheetView>
  </sheetViews>
  <sheetFormatPr baseColWidth="10" defaultRowHeight="15" x14ac:dyDescent="0.25"/>
  <cols>
    <col min="1" max="1" width="2.85546875" style="44" customWidth="1"/>
    <col min="2" max="3" width="24.7109375" style="44" customWidth="1"/>
    <col min="4" max="4" width="16" style="44" customWidth="1"/>
    <col min="5" max="5" width="24.7109375" style="44" customWidth="1"/>
    <col min="6" max="6" width="27.7109375" style="44" customWidth="1"/>
    <col min="7" max="8" width="24.7109375" style="44" customWidth="1"/>
    <col min="9" max="16384" width="11.42578125" style="44"/>
  </cols>
  <sheetData>
    <row r="1" spans="2:8" ht="15.75" thickBot="1" x14ac:dyDescent="0.3"/>
    <row r="2" spans="2:8" ht="18" x14ac:dyDescent="0.25">
      <c r="B2" s="223" t="s">
        <v>163</v>
      </c>
      <c r="C2" s="224"/>
      <c r="D2" s="224"/>
      <c r="E2" s="224"/>
      <c r="F2" s="224"/>
      <c r="G2" s="224"/>
      <c r="H2" s="225"/>
    </row>
    <row r="3" spans="2:8" x14ac:dyDescent="0.25">
      <c r="B3" s="45"/>
      <c r="C3" s="46"/>
      <c r="D3" s="46"/>
      <c r="E3" s="46"/>
      <c r="F3" s="46"/>
      <c r="G3" s="46"/>
      <c r="H3" s="47"/>
    </row>
    <row r="4" spans="2:8" ht="63" customHeight="1" x14ac:dyDescent="0.25">
      <c r="B4" s="226" t="s">
        <v>206</v>
      </c>
      <c r="C4" s="227"/>
      <c r="D4" s="227"/>
      <c r="E4" s="227"/>
      <c r="F4" s="227"/>
      <c r="G4" s="227"/>
      <c r="H4" s="228"/>
    </row>
    <row r="5" spans="2:8" ht="63" customHeight="1" x14ac:dyDescent="0.25">
      <c r="B5" s="229"/>
      <c r="C5" s="230"/>
      <c r="D5" s="230"/>
      <c r="E5" s="230"/>
      <c r="F5" s="230"/>
      <c r="G5" s="230"/>
      <c r="H5" s="231"/>
    </row>
    <row r="6" spans="2:8" ht="16.5" x14ac:dyDescent="0.25">
      <c r="B6" s="232" t="s">
        <v>161</v>
      </c>
      <c r="C6" s="233"/>
      <c r="D6" s="233"/>
      <c r="E6" s="233"/>
      <c r="F6" s="233"/>
      <c r="G6" s="233"/>
      <c r="H6" s="234"/>
    </row>
    <row r="7" spans="2:8" ht="95.25" customHeight="1" x14ac:dyDescent="0.25">
      <c r="B7" s="242" t="s">
        <v>166</v>
      </c>
      <c r="C7" s="243"/>
      <c r="D7" s="243"/>
      <c r="E7" s="243"/>
      <c r="F7" s="243"/>
      <c r="G7" s="243"/>
      <c r="H7" s="244"/>
    </row>
    <row r="8" spans="2:8" ht="16.5" x14ac:dyDescent="0.25">
      <c r="B8" s="82"/>
      <c r="C8" s="83"/>
      <c r="D8" s="83"/>
      <c r="E8" s="83"/>
      <c r="F8" s="83"/>
      <c r="G8" s="83"/>
      <c r="H8" s="84"/>
    </row>
    <row r="9" spans="2:8" ht="16.5" customHeight="1" x14ac:dyDescent="0.25">
      <c r="B9" s="235" t="s">
        <v>199</v>
      </c>
      <c r="C9" s="236"/>
      <c r="D9" s="236"/>
      <c r="E9" s="236"/>
      <c r="F9" s="236"/>
      <c r="G9" s="236"/>
      <c r="H9" s="237"/>
    </row>
    <row r="10" spans="2:8" ht="44.25" customHeight="1" x14ac:dyDescent="0.25">
      <c r="B10" s="235"/>
      <c r="C10" s="236"/>
      <c r="D10" s="236"/>
      <c r="E10" s="236"/>
      <c r="F10" s="236"/>
      <c r="G10" s="236"/>
      <c r="H10" s="237"/>
    </row>
    <row r="11" spans="2:8" ht="15.75" thickBot="1" x14ac:dyDescent="0.3">
      <c r="B11" s="70"/>
      <c r="C11" s="73"/>
      <c r="D11" s="78"/>
      <c r="E11" s="79"/>
      <c r="F11" s="79"/>
      <c r="G11" s="80"/>
      <c r="H11" s="81"/>
    </row>
    <row r="12" spans="2:8" ht="15.75" thickTop="1" x14ac:dyDescent="0.25">
      <c r="B12" s="70"/>
      <c r="C12" s="238" t="s">
        <v>162</v>
      </c>
      <c r="D12" s="239"/>
      <c r="E12" s="240" t="s">
        <v>200</v>
      </c>
      <c r="F12" s="241"/>
      <c r="G12" s="73"/>
      <c r="H12" s="74"/>
    </row>
    <row r="13" spans="2:8" ht="35.25" customHeight="1" x14ac:dyDescent="0.25">
      <c r="B13" s="70"/>
      <c r="C13" s="210" t="s">
        <v>193</v>
      </c>
      <c r="D13" s="211"/>
      <c r="E13" s="212" t="s">
        <v>198</v>
      </c>
      <c r="F13" s="213"/>
      <c r="G13" s="73"/>
      <c r="H13" s="74"/>
    </row>
    <row r="14" spans="2:8" ht="17.25" customHeight="1" x14ac:dyDescent="0.25">
      <c r="B14" s="70"/>
      <c r="C14" s="210" t="s">
        <v>194</v>
      </c>
      <c r="D14" s="211"/>
      <c r="E14" s="212" t="s">
        <v>196</v>
      </c>
      <c r="F14" s="213"/>
      <c r="G14" s="73"/>
      <c r="H14" s="74"/>
    </row>
    <row r="15" spans="2:8" ht="19.5" customHeight="1" x14ac:dyDescent="0.25">
      <c r="B15" s="70"/>
      <c r="C15" s="210" t="s">
        <v>195</v>
      </c>
      <c r="D15" s="211"/>
      <c r="E15" s="212" t="s">
        <v>197</v>
      </c>
      <c r="F15" s="213"/>
      <c r="G15" s="73"/>
      <c r="H15" s="74"/>
    </row>
    <row r="16" spans="2:8" ht="69.75" customHeight="1" x14ac:dyDescent="0.25">
      <c r="B16" s="70"/>
      <c r="C16" s="210" t="s">
        <v>164</v>
      </c>
      <c r="D16" s="211"/>
      <c r="E16" s="212" t="s">
        <v>165</v>
      </c>
      <c r="F16" s="213"/>
      <c r="G16" s="73"/>
      <c r="H16" s="74"/>
    </row>
    <row r="17" spans="2:8" ht="34.5" customHeight="1" x14ac:dyDescent="0.25">
      <c r="B17" s="70"/>
      <c r="C17" s="214" t="s">
        <v>2</v>
      </c>
      <c r="D17" s="215"/>
      <c r="E17" s="206" t="s">
        <v>207</v>
      </c>
      <c r="F17" s="207"/>
      <c r="G17" s="73"/>
      <c r="H17" s="74"/>
    </row>
    <row r="18" spans="2:8" ht="27.75" customHeight="1" x14ac:dyDescent="0.25">
      <c r="B18" s="70"/>
      <c r="C18" s="214" t="s">
        <v>3</v>
      </c>
      <c r="D18" s="215"/>
      <c r="E18" s="206" t="s">
        <v>208</v>
      </c>
      <c r="F18" s="207"/>
      <c r="G18" s="73"/>
      <c r="H18" s="74"/>
    </row>
    <row r="19" spans="2:8" ht="28.5" customHeight="1" x14ac:dyDescent="0.25">
      <c r="B19" s="70"/>
      <c r="C19" s="214" t="s">
        <v>41</v>
      </c>
      <c r="D19" s="215"/>
      <c r="E19" s="206" t="s">
        <v>209</v>
      </c>
      <c r="F19" s="207"/>
      <c r="G19" s="73"/>
      <c r="H19" s="74"/>
    </row>
    <row r="20" spans="2:8" ht="72.75" customHeight="1" x14ac:dyDescent="0.25">
      <c r="B20" s="70"/>
      <c r="C20" s="214" t="s">
        <v>1</v>
      </c>
      <c r="D20" s="215"/>
      <c r="E20" s="206" t="s">
        <v>210</v>
      </c>
      <c r="F20" s="207"/>
      <c r="G20" s="73"/>
      <c r="H20" s="74"/>
    </row>
    <row r="21" spans="2:8" ht="64.5" customHeight="1" x14ac:dyDescent="0.25">
      <c r="B21" s="70"/>
      <c r="C21" s="214" t="s">
        <v>49</v>
      </c>
      <c r="D21" s="215"/>
      <c r="E21" s="206" t="s">
        <v>168</v>
      </c>
      <c r="F21" s="207"/>
      <c r="G21" s="73"/>
      <c r="H21" s="74"/>
    </row>
    <row r="22" spans="2:8" ht="71.25" customHeight="1" x14ac:dyDescent="0.25">
      <c r="B22" s="70"/>
      <c r="C22" s="214" t="s">
        <v>167</v>
      </c>
      <c r="D22" s="215"/>
      <c r="E22" s="206" t="s">
        <v>169</v>
      </c>
      <c r="F22" s="207"/>
      <c r="G22" s="73"/>
      <c r="H22" s="74"/>
    </row>
    <row r="23" spans="2:8" ht="55.5" customHeight="1" x14ac:dyDescent="0.25">
      <c r="B23" s="70"/>
      <c r="C23" s="208" t="s">
        <v>170</v>
      </c>
      <c r="D23" s="209"/>
      <c r="E23" s="206" t="s">
        <v>171</v>
      </c>
      <c r="F23" s="207"/>
      <c r="G23" s="73"/>
      <c r="H23" s="74"/>
    </row>
    <row r="24" spans="2:8" ht="42" customHeight="1" x14ac:dyDescent="0.25">
      <c r="B24" s="70"/>
      <c r="C24" s="208" t="s">
        <v>47</v>
      </c>
      <c r="D24" s="209"/>
      <c r="E24" s="206" t="s">
        <v>172</v>
      </c>
      <c r="F24" s="207"/>
      <c r="G24" s="73"/>
      <c r="H24" s="74"/>
    </row>
    <row r="25" spans="2:8" ht="59.25" customHeight="1" x14ac:dyDescent="0.25">
      <c r="B25" s="70"/>
      <c r="C25" s="208" t="s">
        <v>160</v>
      </c>
      <c r="D25" s="209"/>
      <c r="E25" s="206" t="s">
        <v>173</v>
      </c>
      <c r="F25" s="207"/>
      <c r="G25" s="73"/>
      <c r="H25" s="74"/>
    </row>
    <row r="26" spans="2:8" ht="23.25" customHeight="1" x14ac:dyDescent="0.25">
      <c r="B26" s="70"/>
      <c r="C26" s="208" t="s">
        <v>12</v>
      </c>
      <c r="D26" s="209"/>
      <c r="E26" s="206" t="s">
        <v>174</v>
      </c>
      <c r="F26" s="207"/>
      <c r="G26" s="73"/>
      <c r="H26" s="74"/>
    </row>
    <row r="27" spans="2:8" ht="30.75" customHeight="1" x14ac:dyDescent="0.25">
      <c r="B27" s="70"/>
      <c r="C27" s="208" t="s">
        <v>178</v>
      </c>
      <c r="D27" s="209"/>
      <c r="E27" s="206" t="s">
        <v>175</v>
      </c>
      <c r="F27" s="207"/>
      <c r="G27" s="73"/>
      <c r="H27" s="74"/>
    </row>
    <row r="28" spans="2:8" ht="35.25" customHeight="1" x14ac:dyDescent="0.25">
      <c r="B28" s="70"/>
      <c r="C28" s="208" t="s">
        <v>179</v>
      </c>
      <c r="D28" s="209"/>
      <c r="E28" s="206" t="s">
        <v>176</v>
      </c>
      <c r="F28" s="207"/>
      <c r="G28" s="73"/>
      <c r="H28" s="74"/>
    </row>
    <row r="29" spans="2:8" ht="33" customHeight="1" x14ac:dyDescent="0.25">
      <c r="B29" s="70"/>
      <c r="C29" s="208" t="s">
        <v>179</v>
      </c>
      <c r="D29" s="209"/>
      <c r="E29" s="206" t="s">
        <v>176</v>
      </c>
      <c r="F29" s="207"/>
      <c r="G29" s="73"/>
      <c r="H29" s="74"/>
    </row>
    <row r="30" spans="2:8" ht="30" customHeight="1" x14ac:dyDescent="0.25">
      <c r="B30" s="70"/>
      <c r="C30" s="208" t="s">
        <v>180</v>
      </c>
      <c r="D30" s="209"/>
      <c r="E30" s="206" t="s">
        <v>177</v>
      </c>
      <c r="F30" s="207"/>
      <c r="G30" s="73"/>
      <c r="H30" s="74"/>
    </row>
    <row r="31" spans="2:8" ht="35.25" customHeight="1" x14ac:dyDescent="0.25">
      <c r="B31" s="70"/>
      <c r="C31" s="208" t="s">
        <v>181</v>
      </c>
      <c r="D31" s="209"/>
      <c r="E31" s="206" t="s">
        <v>182</v>
      </c>
      <c r="F31" s="207"/>
      <c r="G31" s="73"/>
      <c r="H31" s="74"/>
    </row>
    <row r="32" spans="2:8" ht="31.5" customHeight="1" x14ac:dyDescent="0.25">
      <c r="B32" s="70"/>
      <c r="C32" s="208" t="s">
        <v>183</v>
      </c>
      <c r="D32" s="209"/>
      <c r="E32" s="206" t="s">
        <v>184</v>
      </c>
      <c r="F32" s="207"/>
      <c r="G32" s="73"/>
      <c r="H32" s="74"/>
    </row>
    <row r="33" spans="2:8" ht="35.25" customHeight="1" x14ac:dyDescent="0.25">
      <c r="B33" s="70"/>
      <c r="C33" s="208" t="s">
        <v>185</v>
      </c>
      <c r="D33" s="209"/>
      <c r="E33" s="206" t="s">
        <v>186</v>
      </c>
      <c r="F33" s="207"/>
      <c r="G33" s="73"/>
      <c r="H33" s="74"/>
    </row>
    <row r="34" spans="2:8" ht="59.25" customHeight="1" x14ac:dyDescent="0.25">
      <c r="B34" s="70"/>
      <c r="C34" s="208" t="s">
        <v>187</v>
      </c>
      <c r="D34" s="209"/>
      <c r="E34" s="206" t="s">
        <v>188</v>
      </c>
      <c r="F34" s="207"/>
      <c r="G34" s="73"/>
      <c r="H34" s="74"/>
    </row>
    <row r="35" spans="2:8" ht="29.25" customHeight="1" x14ac:dyDescent="0.25">
      <c r="B35" s="70"/>
      <c r="C35" s="208" t="s">
        <v>29</v>
      </c>
      <c r="D35" s="209"/>
      <c r="E35" s="206" t="s">
        <v>189</v>
      </c>
      <c r="F35" s="207"/>
      <c r="G35" s="73"/>
      <c r="H35" s="74"/>
    </row>
    <row r="36" spans="2:8" ht="82.5" customHeight="1" x14ac:dyDescent="0.25">
      <c r="B36" s="70"/>
      <c r="C36" s="208" t="s">
        <v>191</v>
      </c>
      <c r="D36" s="209"/>
      <c r="E36" s="206" t="s">
        <v>190</v>
      </c>
      <c r="F36" s="207"/>
      <c r="G36" s="73"/>
      <c r="H36" s="74"/>
    </row>
    <row r="37" spans="2:8" ht="46.5" customHeight="1" x14ac:dyDescent="0.25">
      <c r="B37" s="70"/>
      <c r="C37" s="208" t="s">
        <v>38</v>
      </c>
      <c r="D37" s="209"/>
      <c r="E37" s="206" t="s">
        <v>192</v>
      </c>
      <c r="F37" s="207"/>
      <c r="G37" s="73"/>
      <c r="H37" s="74"/>
    </row>
    <row r="38" spans="2:8" ht="6.75" customHeight="1" thickBot="1" x14ac:dyDescent="0.3">
      <c r="B38" s="70"/>
      <c r="C38" s="219"/>
      <c r="D38" s="220"/>
      <c r="E38" s="221"/>
      <c r="F38" s="222"/>
      <c r="G38" s="73"/>
      <c r="H38" s="74"/>
    </row>
    <row r="39" spans="2:8" ht="15.75" thickTop="1" x14ac:dyDescent="0.25">
      <c r="B39" s="70"/>
      <c r="C39" s="71"/>
      <c r="D39" s="71"/>
      <c r="E39" s="72"/>
      <c r="F39" s="72"/>
      <c r="G39" s="73"/>
      <c r="H39" s="74"/>
    </row>
    <row r="40" spans="2:8" ht="21" customHeight="1" x14ac:dyDescent="0.25">
      <c r="B40" s="216" t="s">
        <v>201</v>
      </c>
      <c r="C40" s="217"/>
      <c r="D40" s="217"/>
      <c r="E40" s="217"/>
      <c r="F40" s="217"/>
      <c r="G40" s="217"/>
      <c r="H40" s="218"/>
    </row>
    <row r="41" spans="2:8" ht="20.25" customHeight="1" x14ac:dyDescent="0.25">
      <c r="B41" s="216" t="s">
        <v>202</v>
      </c>
      <c r="C41" s="217"/>
      <c r="D41" s="217"/>
      <c r="E41" s="217"/>
      <c r="F41" s="217"/>
      <c r="G41" s="217"/>
      <c r="H41" s="218"/>
    </row>
    <row r="42" spans="2:8" ht="20.25" customHeight="1" x14ac:dyDescent="0.25">
      <c r="B42" s="216" t="s">
        <v>203</v>
      </c>
      <c r="C42" s="217"/>
      <c r="D42" s="217"/>
      <c r="E42" s="217"/>
      <c r="F42" s="217"/>
      <c r="G42" s="217"/>
      <c r="H42" s="218"/>
    </row>
    <row r="43" spans="2:8" ht="20.25" customHeight="1" x14ac:dyDescent="0.25">
      <c r="B43" s="216" t="s">
        <v>204</v>
      </c>
      <c r="C43" s="217"/>
      <c r="D43" s="217"/>
      <c r="E43" s="217"/>
      <c r="F43" s="217"/>
      <c r="G43" s="217"/>
      <c r="H43" s="218"/>
    </row>
    <row r="44" spans="2:8" x14ac:dyDescent="0.25">
      <c r="B44" s="216" t="s">
        <v>205</v>
      </c>
      <c r="C44" s="217"/>
      <c r="D44" s="217"/>
      <c r="E44" s="217"/>
      <c r="F44" s="217"/>
      <c r="G44" s="217"/>
      <c r="H44" s="218"/>
    </row>
    <row r="45" spans="2:8" ht="15.75" thickBot="1" x14ac:dyDescent="0.3">
      <c r="B45" s="75"/>
      <c r="C45" s="76"/>
      <c r="D45" s="76"/>
      <c r="E45" s="76"/>
      <c r="F45" s="76"/>
      <c r="G45" s="76"/>
      <c r="H45" s="77"/>
    </row>
    <row r="50" spans="2:6" ht="15.75" x14ac:dyDescent="0.25">
      <c r="B50" s="158" t="s">
        <v>297</v>
      </c>
    </row>
    <row r="51" spans="2:6" x14ac:dyDescent="0.25">
      <c r="B51" s="159" t="s">
        <v>312</v>
      </c>
    </row>
    <row r="53" spans="2:6" ht="49.5" x14ac:dyDescent="0.25">
      <c r="B53" s="160" t="s">
        <v>298</v>
      </c>
      <c r="C53" s="245" t="s">
        <v>299</v>
      </c>
      <c r="D53" s="245"/>
      <c r="E53" s="245"/>
      <c r="F53" s="245"/>
    </row>
    <row r="54" spans="2:6" ht="16.5" x14ac:dyDescent="0.25">
      <c r="B54" s="160" t="s">
        <v>300</v>
      </c>
      <c r="C54" s="245" t="s">
        <v>301</v>
      </c>
      <c r="D54" s="245"/>
      <c r="E54" s="245"/>
      <c r="F54" s="245"/>
    </row>
    <row r="55" spans="2:6" ht="16.5" x14ac:dyDescent="0.25">
      <c r="B55" s="160" t="s">
        <v>302</v>
      </c>
      <c r="C55" s="245" t="s">
        <v>303</v>
      </c>
      <c r="D55" s="245"/>
      <c r="E55" s="245"/>
      <c r="F55" s="245"/>
    </row>
    <row r="56" spans="2:6" ht="16.5" x14ac:dyDescent="0.25">
      <c r="B56" s="160" t="s">
        <v>304</v>
      </c>
      <c r="C56" s="245" t="s">
        <v>305</v>
      </c>
      <c r="D56" s="245"/>
      <c r="E56" s="245"/>
      <c r="F56" s="245"/>
    </row>
    <row r="57" spans="2:6" ht="16.5" x14ac:dyDescent="0.25">
      <c r="B57" s="160" t="s">
        <v>306</v>
      </c>
      <c r="C57" s="245" t="s">
        <v>307</v>
      </c>
      <c r="D57" s="245"/>
      <c r="E57" s="245"/>
      <c r="F57" s="245"/>
    </row>
    <row r="58" spans="2:6" ht="33" x14ac:dyDescent="0.25">
      <c r="B58" s="160" t="s">
        <v>308</v>
      </c>
      <c r="C58" s="245" t="s">
        <v>309</v>
      </c>
      <c r="D58" s="245"/>
      <c r="E58" s="245"/>
      <c r="F58" s="245"/>
    </row>
    <row r="59" spans="2:6" ht="33" x14ac:dyDescent="0.25">
      <c r="B59" s="160" t="s">
        <v>310</v>
      </c>
      <c r="C59" s="245" t="s">
        <v>311</v>
      </c>
      <c r="D59" s="245"/>
      <c r="E59" s="245"/>
      <c r="F59" s="245"/>
    </row>
  </sheetData>
  <mergeCells count="71">
    <mergeCell ref="C58:F58"/>
    <mergeCell ref="C59:F59"/>
    <mergeCell ref="C53:F53"/>
    <mergeCell ref="C54:F54"/>
    <mergeCell ref="C55:F55"/>
    <mergeCell ref="C56:F56"/>
    <mergeCell ref="C57:F57"/>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scale="44"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RowHeight="12.75" x14ac:dyDescent="0.2"/>
  <cols>
    <col min="1" max="1" width="32.85546875" style="7" customWidth="1"/>
    <col min="2" max="16384" width="11.42578125" style="7"/>
  </cols>
  <sheetData>
    <row r="3" spans="1:1" x14ac:dyDescent="0.2">
      <c r="A3" s="8" t="s">
        <v>14</v>
      </c>
    </row>
    <row r="4" spans="1:1" x14ac:dyDescent="0.2">
      <c r="A4" s="8" t="s">
        <v>15</v>
      </c>
    </row>
    <row r="5" spans="1:1" x14ac:dyDescent="0.2">
      <c r="A5" s="8" t="s">
        <v>16</v>
      </c>
    </row>
    <row r="6" spans="1:1" x14ac:dyDescent="0.2">
      <c r="A6" s="8" t="s">
        <v>10</v>
      </c>
    </row>
    <row r="7" spans="1:1" x14ac:dyDescent="0.2">
      <c r="A7" s="8" t="s">
        <v>9</v>
      </c>
    </row>
    <row r="8" spans="1:1" x14ac:dyDescent="0.2">
      <c r="A8" s="8" t="s">
        <v>19</v>
      </c>
    </row>
    <row r="9" spans="1:1" x14ac:dyDescent="0.2">
      <c r="A9" s="8" t="s">
        <v>20</v>
      </c>
    </row>
    <row r="10" spans="1:1" x14ac:dyDescent="0.2">
      <c r="A10" s="8" t="s">
        <v>22</v>
      </c>
    </row>
    <row r="11" spans="1:1" x14ac:dyDescent="0.2">
      <c r="A11" s="8" t="s">
        <v>23</v>
      </c>
    </row>
    <row r="12" spans="1:1" x14ac:dyDescent="0.2">
      <c r="A12" s="8" t="s">
        <v>25</v>
      </c>
    </row>
    <row r="13" spans="1:1" x14ac:dyDescent="0.2">
      <c r="A13" s="8" t="s">
        <v>26</v>
      </c>
    </row>
    <row r="14" spans="1:1" x14ac:dyDescent="0.2">
      <c r="A14" s="8" t="s">
        <v>27</v>
      </c>
    </row>
    <row r="16" spans="1:1" x14ac:dyDescent="0.2">
      <c r="A16" s="8" t="s">
        <v>30</v>
      </c>
    </row>
    <row r="17" spans="1:1" x14ac:dyDescent="0.2">
      <c r="A17" s="8" t="s">
        <v>31</v>
      </c>
    </row>
    <row r="18" spans="1:1" x14ac:dyDescent="0.2">
      <c r="A18" s="8" t="s">
        <v>32</v>
      </c>
    </row>
    <row r="20" spans="1:1" x14ac:dyDescent="0.2">
      <c r="A20" s="8" t="s">
        <v>39</v>
      </c>
    </row>
    <row r="21" spans="1:1" x14ac:dyDescent="0.2">
      <c r="A21" s="8"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O67"/>
  <sheetViews>
    <sheetView tabSelected="1" zoomScale="55" zoomScaleNormal="55" workbookViewId="0">
      <selection activeCell="J25" sqref="J25"/>
    </sheetView>
  </sheetViews>
  <sheetFormatPr baseColWidth="10" defaultRowHeight="16.5" x14ac:dyDescent="0.3"/>
  <cols>
    <col min="1" max="1" width="4" style="2" bestFit="1" customWidth="1"/>
    <col min="2" max="2" width="14.140625" style="2" customWidth="1"/>
    <col min="3" max="3" width="38.28515625" style="2" customWidth="1"/>
    <col min="4" max="4" width="26.5703125" style="2" customWidth="1"/>
    <col min="5" max="5" width="34"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5" bestFit="1" customWidth="1"/>
    <col min="14" max="14" width="16" style="1" customWidth="1"/>
    <col min="15" max="15" width="5.85546875" style="1" customWidth="1"/>
    <col min="16" max="16" width="35.140625" style="1" customWidth="1"/>
    <col min="17" max="17" width="17" style="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1.85546875" style="1" customWidth="1"/>
    <col min="32" max="32" width="18.85546875" style="1" customWidth="1"/>
    <col min="33" max="33" width="16.85546875" style="1" customWidth="1"/>
    <col min="34" max="34" width="14.85546875" style="1" customWidth="1"/>
    <col min="35" max="35" width="21" style="1" customWidth="1"/>
    <col min="36" max="36" width="33.140625" style="1" customWidth="1"/>
    <col min="37" max="37" width="20.28515625" style="1" hidden="1" customWidth="1"/>
    <col min="38" max="38" width="29" style="1" hidden="1" customWidth="1"/>
    <col min="39" max="16384" width="11.42578125" style="1"/>
  </cols>
  <sheetData>
    <row r="1" spans="1:67" ht="45.75" customHeight="1" x14ac:dyDescent="0.3">
      <c r="A1" s="258"/>
      <c r="B1" s="258"/>
      <c r="C1" s="258"/>
      <c r="D1" s="258"/>
      <c r="E1" s="258"/>
      <c r="F1" s="258"/>
      <c r="G1" s="258"/>
      <c r="H1" s="273" t="s">
        <v>216</v>
      </c>
      <c r="I1" s="274"/>
      <c r="J1" s="274"/>
      <c r="K1" s="274"/>
      <c r="L1" s="274"/>
      <c r="M1" s="274"/>
      <c r="N1" s="274"/>
      <c r="O1" s="274"/>
      <c r="P1" s="274"/>
      <c r="Q1" s="274"/>
      <c r="R1" s="274"/>
      <c r="S1" s="274"/>
      <c r="T1" s="274"/>
      <c r="U1" s="274"/>
      <c r="V1" s="274"/>
      <c r="W1" s="274"/>
      <c r="X1" s="274"/>
      <c r="Y1" s="274"/>
      <c r="Z1" s="274"/>
      <c r="AA1" s="274"/>
      <c r="AB1" s="274"/>
      <c r="AC1" s="274"/>
      <c r="AD1" s="275"/>
      <c r="AE1" s="248" t="s">
        <v>334</v>
      </c>
      <c r="AF1" s="248"/>
      <c r="AG1" s="248"/>
      <c r="AH1" s="248"/>
      <c r="AI1" s="248"/>
      <c r="AJ1" s="248"/>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row>
    <row r="2" spans="1:67" ht="45.75" customHeight="1" x14ac:dyDescent="0.3">
      <c r="A2" s="258"/>
      <c r="B2" s="258"/>
      <c r="C2" s="258"/>
      <c r="D2" s="258"/>
      <c r="E2" s="258"/>
      <c r="F2" s="258"/>
      <c r="G2" s="258"/>
      <c r="H2" s="276"/>
      <c r="I2" s="277"/>
      <c r="J2" s="277"/>
      <c r="K2" s="277"/>
      <c r="L2" s="277"/>
      <c r="M2" s="277"/>
      <c r="N2" s="277"/>
      <c r="O2" s="277"/>
      <c r="P2" s="277"/>
      <c r="Q2" s="277"/>
      <c r="R2" s="277"/>
      <c r="S2" s="277"/>
      <c r="T2" s="277"/>
      <c r="U2" s="277"/>
      <c r="V2" s="277"/>
      <c r="W2" s="277"/>
      <c r="X2" s="277"/>
      <c r="Y2" s="277"/>
      <c r="Z2" s="277"/>
      <c r="AA2" s="277"/>
      <c r="AB2" s="277"/>
      <c r="AC2" s="277"/>
      <c r="AD2" s="278"/>
      <c r="AE2" s="249" t="s">
        <v>335</v>
      </c>
      <c r="AF2" s="250"/>
      <c r="AG2" s="250"/>
      <c r="AH2" s="250"/>
      <c r="AI2" s="250"/>
      <c r="AJ2" s="251"/>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row>
    <row r="3" spans="1:67" ht="45.75" customHeight="1" x14ac:dyDescent="0.3">
      <c r="A3" s="258"/>
      <c r="B3" s="258"/>
      <c r="C3" s="258"/>
      <c r="D3" s="258"/>
      <c r="E3" s="258"/>
      <c r="F3" s="258"/>
      <c r="G3" s="258"/>
      <c r="H3" s="279" t="s">
        <v>352</v>
      </c>
      <c r="I3" s="280"/>
      <c r="J3" s="280"/>
      <c r="K3" s="280"/>
      <c r="L3" s="280"/>
      <c r="M3" s="280"/>
      <c r="N3" s="280"/>
      <c r="O3" s="280"/>
      <c r="P3" s="280"/>
      <c r="Q3" s="280"/>
      <c r="R3" s="280"/>
      <c r="S3" s="280"/>
      <c r="T3" s="280"/>
      <c r="U3" s="280"/>
      <c r="V3" s="280"/>
      <c r="W3" s="280"/>
      <c r="X3" s="280"/>
      <c r="Y3" s="280"/>
      <c r="Z3" s="280"/>
      <c r="AA3" s="280"/>
      <c r="AB3" s="280"/>
      <c r="AC3" s="280"/>
      <c r="AD3" s="281"/>
      <c r="AE3" s="252" t="s">
        <v>336</v>
      </c>
      <c r="AF3" s="253"/>
      <c r="AG3" s="253"/>
      <c r="AH3" s="253"/>
      <c r="AI3" s="253"/>
      <c r="AJ3" s="254"/>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row>
    <row r="4" spans="1:67" ht="45.75" customHeight="1" x14ac:dyDescent="0.3">
      <c r="A4" s="258"/>
      <c r="B4" s="258"/>
      <c r="C4" s="258"/>
      <c r="D4" s="258"/>
      <c r="E4" s="258"/>
      <c r="F4" s="258"/>
      <c r="G4" s="258"/>
      <c r="H4" s="282"/>
      <c r="I4" s="283"/>
      <c r="J4" s="283"/>
      <c r="K4" s="283"/>
      <c r="L4" s="283"/>
      <c r="M4" s="283"/>
      <c r="N4" s="283"/>
      <c r="O4" s="283"/>
      <c r="P4" s="283"/>
      <c r="Q4" s="283"/>
      <c r="R4" s="283"/>
      <c r="S4" s="283"/>
      <c r="T4" s="283"/>
      <c r="U4" s="283"/>
      <c r="V4" s="283"/>
      <c r="W4" s="283"/>
      <c r="X4" s="283"/>
      <c r="Y4" s="283"/>
      <c r="Z4" s="283"/>
      <c r="AA4" s="283"/>
      <c r="AB4" s="283"/>
      <c r="AC4" s="283"/>
      <c r="AD4" s="284"/>
      <c r="AE4" s="252" t="s">
        <v>211</v>
      </c>
      <c r="AF4" s="253"/>
      <c r="AG4" s="253"/>
      <c r="AH4" s="253"/>
      <c r="AI4" s="253"/>
      <c r="AJ4" s="254"/>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row>
    <row r="5" spans="1:67" x14ac:dyDescent="0.3">
      <c r="A5" s="26"/>
      <c r="B5" s="27"/>
      <c r="C5" s="26"/>
      <c r="D5" s="26"/>
      <c r="E5" s="6"/>
      <c r="F5" s="25"/>
      <c r="G5" s="6"/>
      <c r="H5" s="6"/>
      <c r="I5" s="6"/>
      <c r="J5" s="6"/>
      <c r="K5" s="6"/>
      <c r="L5" s="6"/>
      <c r="M5" s="25"/>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row>
    <row r="6" spans="1:67" ht="26.25" customHeight="1" x14ac:dyDescent="0.3">
      <c r="A6" s="259" t="s">
        <v>42</v>
      </c>
      <c r="B6" s="259"/>
      <c r="C6" s="289" t="s">
        <v>341</v>
      </c>
      <c r="D6" s="290"/>
      <c r="E6" s="290"/>
      <c r="F6" s="290"/>
      <c r="G6" s="290"/>
      <c r="H6" s="290"/>
      <c r="I6" s="290"/>
      <c r="J6" s="290"/>
      <c r="K6" s="290"/>
      <c r="L6" s="290"/>
      <c r="M6" s="290"/>
      <c r="N6" s="291"/>
      <c r="O6" s="292" t="s">
        <v>350</v>
      </c>
      <c r="P6" s="293"/>
      <c r="Q6" s="294"/>
      <c r="R6" s="295" t="s">
        <v>342</v>
      </c>
      <c r="S6" s="296"/>
      <c r="T6" s="296"/>
      <c r="U6" s="296"/>
      <c r="V6" s="296"/>
      <c r="W6" s="296"/>
      <c r="X6" s="296"/>
      <c r="Y6" s="296"/>
      <c r="Z6" s="296"/>
      <c r="AA6" s="296"/>
      <c r="AB6" s="296"/>
      <c r="AC6" s="296"/>
      <c r="AD6" s="296"/>
      <c r="AE6" s="297"/>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row>
    <row r="7" spans="1:67" ht="40.5" customHeight="1" x14ac:dyDescent="0.3">
      <c r="A7" s="260" t="s">
        <v>129</v>
      </c>
      <c r="B7" s="260"/>
      <c r="C7" s="298" t="s">
        <v>275</v>
      </c>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row>
    <row r="8" spans="1:67" ht="26.25" customHeight="1" x14ac:dyDescent="0.3">
      <c r="A8" s="261" t="s">
        <v>43</v>
      </c>
      <c r="B8" s="261"/>
      <c r="C8" s="298" t="s">
        <v>274</v>
      </c>
      <c r="D8" s="298"/>
      <c r="E8" s="298"/>
      <c r="F8" s="298"/>
      <c r="G8" s="298"/>
      <c r="H8" s="298"/>
      <c r="I8" s="298"/>
      <c r="J8" s="298"/>
      <c r="K8" s="298"/>
      <c r="L8" s="298"/>
      <c r="M8" s="298"/>
      <c r="N8" s="298"/>
      <c r="O8" s="298"/>
      <c r="P8" s="298"/>
      <c r="Q8" s="298"/>
      <c r="R8" s="298"/>
      <c r="S8" s="298"/>
      <c r="T8" s="298"/>
      <c r="U8" s="298"/>
      <c r="V8" s="298"/>
      <c r="W8" s="298"/>
      <c r="X8" s="298"/>
      <c r="Y8" s="298"/>
      <c r="Z8" s="298"/>
      <c r="AA8" s="298"/>
      <c r="AB8" s="298"/>
      <c r="AC8" s="298"/>
      <c r="AD8" s="298"/>
      <c r="AE8" s="298"/>
      <c r="AF8" s="6"/>
      <c r="AG8" s="6"/>
      <c r="AH8" s="6"/>
      <c r="AI8" s="6"/>
      <c r="AJ8" s="6"/>
      <c r="AK8" s="6"/>
      <c r="AL8" s="6"/>
      <c r="AM8" s="6"/>
      <c r="AN8" s="101"/>
      <c r="AO8" s="6"/>
      <c r="AP8" s="6"/>
      <c r="AQ8" s="6"/>
      <c r="AR8" s="6"/>
      <c r="AS8" s="6"/>
      <c r="AT8" s="6"/>
      <c r="AU8" s="6"/>
      <c r="AV8" s="6"/>
      <c r="AW8" s="6"/>
      <c r="AX8" s="6"/>
      <c r="AY8" s="6"/>
      <c r="AZ8" s="6"/>
      <c r="BA8" s="6"/>
      <c r="BB8" s="6"/>
      <c r="BC8" s="6"/>
      <c r="BD8" s="6"/>
      <c r="BE8" s="6"/>
      <c r="BF8" s="6"/>
      <c r="BG8" s="6"/>
      <c r="BH8" s="6"/>
      <c r="BI8" s="6"/>
      <c r="BJ8" s="6"/>
      <c r="BK8" s="6"/>
      <c r="BL8" s="6"/>
      <c r="BM8" s="6"/>
      <c r="BN8" s="6"/>
      <c r="BO8" s="6"/>
    </row>
    <row r="9" spans="1:67" ht="21.75" customHeight="1" x14ac:dyDescent="0.3">
      <c r="A9" s="255" t="s">
        <v>138</v>
      </c>
      <c r="B9" s="255"/>
      <c r="C9" s="255"/>
      <c r="D9" s="255"/>
      <c r="E9" s="255"/>
      <c r="F9" s="255"/>
      <c r="G9" s="255"/>
      <c r="H9" s="256" t="s">
        <v>139</v>
      </c>
      <c r="I9" s="256"/>
      <c r="J9" s="256"/>
      <c r="K9" s="256"/>
      <c r="L9" s="256"/>
      <c r="M9" s="256"/>
      <c r="N9" s="256"/>
      <c r="O9" s="257" t="s">
        <v>140</v>
      </c>
      <c r="P9" s="257"/>
      <c r="Q9" s="257"/>
      <c r="R9" s="257"/>
      <c r="S9" s="257"/>
      <c r="T9" s="257"/>
      <c r="U9" s="257"/>
      <c r="V9" s="257"/>
      <c r="W9" s="257"/>
      <c r="X9" s="257" t="s">
        <v>141</v>
      </c>
      <c r="Y9" s="257"/>
      <c r="Z9" s="257"/>
      <c r="AA9" s="257"/>
      <c r="AB9" s="257"/>
      <c r="AC9" s="257"/>
      <c r="AD9" s="257"/>
      <c r="AE9" s="257" t="s">
        <v>34</v>
      </c>
      <c r="AF9" s="257"/>
      <c r="AG9" s="257"/>
      <c r="AH9" s="257"/>
      <c r="AI9" s="257"/>
      <c r="AJ9" s="287" t="s">
        <v>213</v>
      </c>
      <c r="AK9" s="285" t="s">
        <v>221</v>
      </c>
      <c r="AL9" s="246" t="s">
        <v>261</v>
      </c>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row>
    <row r="10" spans="1:67" ht="16.5" customHeight="1" x14ac:dyDescent="0.3">
      <c r="A10" s="268" t="s">
        <v>0</v>
      </c>
      <c r="B10" s="255" t="s">
        <v>2</v>
      </c>
      <c r="C10" s="270" t="s">
        <v>214</v>
      </c>
      <c r="D10" s="270" t="s">
        <v>215</v>
      </c>
      <c r="E10" s="255" t="s">
        <v>1</v>
      </c>
      <c r="F10" s="270" t="s">
        <v>49</v>
      </c>
      <c r="G10" s="270" t="s">
        <v>134</v>
      </c>
      <c r="H10" s="270" t="s">
        <v>33</v>
      </c>
      <c r="I10" s="255" t="s">
        <v>5</v>
      </c>
      <c r="J10" s="270" t="s">
        <v>86</v>
      </c>
      <c r="K10" s="270" t="s">
        <v>91</v>
      </c>
      <c r="L10" s="270" t="s">
        <v>44</v>
      </c>
      <c r="M10" s="255" t="s">
        <v>5</v>
      </c>
      <c r="N10" s="270" t="s">
        <v>47</v>
      </c>
      <c r="O10" s="271" t="s">
        <v>11</v>
      </c>
      <c r="P10" s="272" t="s">
        <v>160</v>
      </c>
      <c r="Q10" s="272" t="s">
        <v>12</v>
      </c>
      <c r="R10" s="272" t="s">
        <v>8</v>
      </c>
      <c r="S10" s="272"/>
      <c r="T10" s="272"/>
      <c r="U10" s="272"/>
      <c r="V10" s="272"/>
      <c r="W10" s="272"/>
      <c r="X10" s="271" t="s">
        <v>137</v>
      </c>
      <c r="Y10" s="271" t="s">
        <v>45</v>
      </c>
      <c r="Z10" s="271" t="s">
        <v>5</v>
      </c>
      <c r="AA10" s="271" t="s">
        <v>46</v>
      </c>
      <c r="AB10" s="271" t="s">
        <v>5</v>
      </c>
      <c r="AC10" s="271" t="s">
        <v>48</v>
      </c>
      <c r="AD10" s="271" t="s">
        <v>29</v>
      </c>
      <c r="AE10" s="246" t="s">
        <v>34</v>
      </c>
      <c r="AF10" s="246" t="s">
        <v>35</v>
      </c>
      <c r="AG10" s="246" t="s">
        <v>36</v>
      </c>
      <c r="AH10" s="246" t="s">
        <v>37</v>
      </c>
      <c r="AI10" s="287" t="s">
        <v>38</v>
      </c>
      <c r="AJ10" s="300"/>
      <c r="AK10" s="285"/>
      <c r="AL10" s="24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row>
    <row r="11" spans="1:67" s="4" customFormat="1" ht="94.5" customHeight="1" x14ac:dyDescent="0.25">
      <c r="A11" s="268"/>
      <c r="B11" s="255"/>
      <c r="C11" s="270"/>
      <c r="D11" s="270"/>
      <c r="E11" s="255"/>
      <c r="F11" s="270"/>
      <c r="G11" s="270"/>
      <c r="H11" s="270"/>
      <c r="I11" s="255"/>
      <c r="J11" s="270"/>
      <c r="K11" s="270"/>
      <c r="L11" s="255"/>
      <c r="M11" s="255"/>
      <c r="N11" s="270"/>
      <c r="O11" s="271"/>
      <c r="P11" s="272"/>
      <c r="Q11" s="272"/>
      <c r="R11" s="86" t="s">
        <v>13</v>
      </c>
      <c r="S11" s="86" t="s">
        <v>17</v>
      </c>
      <c r="T11" s="86" t="s">
        <v>28</v>
      </c>
      <c r="U11" s="86" t="s">
        <v>18</v>
      </c>
      <c r="V11" s="86" t="s">
        <v>21</v>
      </c>
      <c r="W11" s="86" t="s">
        <v>24</v>
      </c>
      <c r="X11" s="271"/>
      <c r="Y11" s="271"/>
      <c r="Z11" s="271"/>
      <c r="AA11" s="271"/>
      <c r="AB11" s="271"/>
      <c r="AC11" s="271"/>
      <c r="AD11" s="271"/>
      <c r="AE11" s="246"/>
      <c r="AF11" s="246"/>
      <c r="AG11" s="246"/>
      <c r="AH11" s="246"/>
      <c r="AI11" s="288"/>
      <c r="AJ11" s="288"/>
      <c r="AK11" s="286"/>
      <c r="AL11" s="246"/>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row>
    <row r="12" spans="1:67" s="3" customFormat="1" ht="224.25" hidden="1" customHeight="1" x14ac:dyDescent="0.25">
      <c r="A12" s="135"/>
      <c r="B12" s="183" t="s">
        <v>133</v>
      </c>
      <c r="C12" s="183" t="s">
        <v>217</v>
      </c>
      <c r="D12" s="183" t="s">
        <v>218</v>
      </c>
      <c r="E12" s="203" t="s">
        <v>338</v>
      </c>
      <c r="F12" s="167" t="s">
        <v>122</v>
      </c>
      <c r="G12" s="184">
        <v>9</v>
      </c>
      <c r="H12" s="171" t="str">
        <f>IF(G12&lt;=0,"",IF(G12&lt;=2,"Muy Baja",IF(G12&lt;=24,"Baja",IF(G12&lt;=500,"Media",IF(G12&lt;=5000,"Alta","Muy Alta")))))</f>
        <v>Baja</v>
      </c>
      <c r="I12" s="176">
        <f>IF(H12="","",IF(H12="Muy Baja",0.2,IF(H12="Baja",0.4,IF(H12="Media",0.6,IF(H12="Alta",0.8,IF(H12="Muy Alta",1,))))))</f>
        <v>0.4</v>
      </c>
      <c r="J12" s="161" t="s">
        <v>154</v>
      </c>
      <c r="K12" s="130" t="str">
        <f ca="1">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171" t="str">
        <f ca="1">IF(OR(K12='Tabla Impacto'!$C$11,K12='Tabla Impacto'!$D$11),"Leve",IF(OR(K12='Tabla Impacto'!$C$12,K12='Tabla Impacto'!$D$12),"Menor",IF(OR(K12='Tabla Impacto'!$C$13,K12='Tabla Impacto'!$D$13),"Moderado",IF(OR(K12='Tabla Impacto'!$C$14,K12='Tabla Impacto'!$D$14),"Mayor",IF(OR(K12='Tabla Impacto'!$C$15,K12='Tabla Impacto'!$D$15),"Catastrófico","")))))</f>
        <v>Mayor</v>
      </c>
      <c r="M12" s="176">
        <f t="shared" ref="M12:M35" ca="1" si="0">IF(L12="","",IF(L12="Leve",0.2,IF(L12="Menor",0.4,IF(L12="Moderado",0.6,IF(L12="Mayor",0.8,IF(L12="Catastrófico",1,))))))</f>
        <v>0.8</v>
      </c>
      <c r="N12" s="181" t="str">
        <f t="shared" ref="N12:N35" ca="1" si="1">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102">
        <v>1</v>
      </c>
      <c r="P12" s="186" t="s">
        <v>223</v>
      </c>
      <c r="Q12" s="201" t="str">
        <f t="shared" ref="Q12:Q15" si="2">IF(OR(R12="Preventivo",R12="Detectivo"),"Probabilidad",IF(R12="Correctivo","Impacto",""))</f>
        <v>Probabilidad</v>
      </c>
      <c r="R12" s="92" t="s">
        <v>14</v>
      </c>
      <c r="S12" s="92" t="s">
        <v>9</v>
      </c>
      <c r="T12" s="93" t="str">
        <f>IF(AND(R12="Preventivo",S12="Automático"),"50%",IF(AND(R12="Preventivo",S12="Manual"),"40%",IF(AND(R12="Detectivo",S12="Automático"),"40%",IF(AND(R12="Detectivo",S12="Manual"),"30%",IF(AND(R12="Correctivo",S12="Automático"),"35%",IF(AND(R12="Correctivo",S12="Manual"),"25%",""))))))</f>
        <v>40%</v>
      </c>
      <c r="U12" s="92" t="s">
        <v>19</v>
      </c>
      <c r="V12" s="92" t="s">
        <v>22</v>
      </c>
      <c r="W12" s="92" t="s">
        <v>118</v>
      </c>
      <c r="X12" s="94">
        <f>IFERROR(IF(Q12="Probabilidad",(I12-(+I12*T12)),IF(Q12="Impacto",I12,"")),"")</f>
        <v>0.24</v>
      </c>
      <c r="Y12" s="87" t="str">
        <f>IFERROR(IF(X12="","",IF(X12&lt;=0.2,"Muy Baja",IF(X12&lt;=0.4,"Baja",IF(X12&lt;=0.6,"Media",IF(X12&lt;=0.8,"Alta","Muy Alta"))))),"")</f>
        <v>Baja</v>
      </c>
      <c r="Z12" s="93">
        <f>+X12</f>
        <v>0.24</v>
      </c>
      <c r="AA12" s="87" t="str">
        <f t="shared" ref="AA12:AA25" ca="1" si="3">IFERROR(IF(AB12="","",IF(AB12&lt;=0.2,"Leve",IF(AB12&lt;=0.4,"Menor",IF(AB12&lt;=0.6,"Moderado",IF(AB12&lt;=0.8,"Mayor","Catastrófico"))))),"")</f>
        <v>Mayor</v>
      </c>
      <c r="AB12" s="93">
        <f t="shared" ref="AB12:AB25" ca="1" si="4">IFERROR(IF(Q12="Impacto",(M12-(+M12*T12)),IF(Q12="Probabilidad",M12,"")),"")</f>
        <v>0.8</v>
      </c>
      <c r="AC12" s="88" t="str">
        <f t="shared" ref="AC12:AC25" ca="1" si="5">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92" t="s">
        <v>135</v>
      </c>
      <c r="AE12" s="167" t="s">
        <v>225</v>
      </c>
      <c r="AF12" s="165" t="s">
        <v>222</v>
      </c>
      <c r="AG12" s="202">
        <v>2025</v>
      </c>
      <c r="AH12" s="166" t="s">
        <v>219</v>
      </c>
      <c r="AI12" s="167" t="s">
        <v>40</v>
      </c>
      <c r="AJ12" s="168" t="s">
        <v>220</v>
      </c>
      <c r="AK12" s="134"/>
      <c r="AL12" s="13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row>
    <row r="13" spans="1:67" s="3" customFormat="1" ht="141" customHeight="1" x14ac:dyDescent="0.25">
      <c r="A13" s="135">
        <v>1</v>
      </c>
      <c r="B13" s="183" t="s">
        <v>131</v>
      </c>
      <c r="C13" s="183" t="s">
        <v>224</v>
      </c>
      <c r="D13" s="183" t="s">
        <v>325</v>
      </c>
      <c r="E13" s="183" t="s">
        <v>328</v>
      </c>
      <c r="F13" s="167" t="s">
        <v>122</v>
      </c>
      <c r="G13" s="184">
        <v>2</v>
      </c>
      <c r="H13" s="171" t="str">
        <f t="shared" ref="H13:H16" si="6">IF(G13&lt;=0,"",IF(G13&lt;=2,"Muy Baja",IF(G13&lt;=24,"Baja",IF(G13&lt;=500,"Media",IF(G13&lt;=5000,"Alta","Muy Alta")))))</f>
        <v>Muy Baja</v>
      </c>
      <c r="I13" s="176">
        <f t="shared" ref="I13:I16" si="7">IF(H13="","",IF(H13="Muy Baja",0.2,IF(H13="Baja",0.4,IF(H13="Media",0.6,IF(H13="Alta",0.8,IF(H13="Muy Alta",1,))))))</f>
        <v>0.2</v>
      </c>
      <c r="J13" s="161" t="s">
        <v>153</v>
      </c>
      <c r="K13" s="130" t="str">
        <f ca="1">IF(NOT(ISERROR(MATCH(J13,'Tabla Impacto'!$B$221:$B$223,0))),'Tabla Impacto'!$F$223&amp;"Por favor no seleccionar los criterios de impacto(Afectación Económica o presupuestal y Pérdida Reputacional)",J13)</f>
        <v xml:space="preserve">     El riesgo afecta la imagen de la entidad con algunos usuarios de relevancia frente al logro de los objetivos</v>
      </c>
      <c r="L13" s="171" t="str">
        <f ca="1">IF(OR(K13='Tabla Impacto'!$C$11,K13='Tabla Impacto'!$D$11),"Leve",IF(OR(K13='Tabla Impacto'!$C$12,K13='Tabla Impacto'!$D$12),"Menor",IF(OR(K13='Tabla Impacto'!$C$13,K13='Tabla Impacto'!$D$13),"Moderado",IF(OR(K13='Tabla Impacto'!$C$14,K13='Tabla Impacto'!$D$14),"Mayor",IF(OR(K13='Tabla Impacto'!$C$15,K13='Tabla Impacto'!$D$15),"Catastrófico","")))))</f>
        <v>Moderado</v>
      </c>
      <c r="M13" s="176">
        <f t="shared" ca="1" si="0"/>
        <v>0.6</v>
      </c>
      <c r="N13" s="181" t="str">
        <f t="shared" ca="1" si="1"/>
        <v>Moderado</v>
      </c>
      <c r="O13" s="103">
        <v>1</v>
      </c>
      <c r="P13" s="186" t="s">
        <v>327</v>
      </c>
      <c r="Q13" s="201" t="str">
        <f t="shared" si="2"/>
        <v>Probabilidad</v>
      </c>
      <c r="R13" s="92" t="s">
        <v>14</v>
      </c>
      <c r="S13" s="92" t="s">
        <v>10</v>
      </c>
      <c r="T13" s="93" t="str">
        <f t="shared" ref="T13:T52" si="8">IF(AND(R13="Preventivo",S13="Automático"),"50%",IF(AND(R13="Preventivo",S13="Manual"),"40%",IF(AND(R13="Detectivo",S13="Automático"),"40%",IF(AND(R13="Detectivo",S13="Manual"),"30%",IF(AND(R13="Correctivo",S13="Automático"),"35%",IF(AND(R13="Correctivo",S13="Manual"),"25%",""))))))</f>
        <v>50%</v>
      </c>
      <c r="U13" s="92" t="s">
        <v>19</v>
      </c>
      <c r="V13" s="92" t="s">
        <v>22</v>
      </c>
      <c r="W13" s="92" t="s">
        <v>118</v>
      </c>
      <c r="X13" s="94">
        <f t="shared" ref="X13:X14" si="9">IFERROR(IF(Q13="Probabilidad",(I13-(+I13*T13)),IF(Q13="Impacto",I13,"")),"")</f>
        <v>0.1</v>
      </c>
      <c r="Y13" s="87" t="str">
        <f>IFERROR(IF(X13="","",IF(X13&lt;=0.2,"Muy Baja",IF(X13&lt;=0.4,"Baja",IF(X13&lt;=0.6,"Media",IF(X13&lt;=0.8,"Alta","Muy Alta"))))),"")</f>
        <v>Muy Baja</v>
      </c>
      <c r="Z13" s="93">
        <f>+X13</f>
        <v>0.1</v>
      </c>
      <c r="AA13" s="87" t="str">
        <f t="shared" ca="1" si="3"/>
        <v>Moderado</v>
      </c>
      <c r="AB13" s="93">
        <f t="shared" ca="1" si="4"/>
        <v>0.6</v>
      </c>
      <c r="AC13" s="88" t="str">
        <f t="shared" ca="1" si="5"/>
        <v>Moderado</v>
      </c>
      <c r="AD13" s="92" t="s">
        <v>135</v>
      </c>
      <c r="AE13" s="167" t="s">
        <v>330</v>
      </c>
      <c r="AF13" s="165" t="s">
        <v>233</v>
      </c>
      <c r="AG13" s="202">
        <v>2025</v>
      </c>
      <c r="AH13" s="166" t="s">
        <v>219</v>
      </c>
      <c r="AI13" s="167" t="s">
        <v>40</v>
      </c>
      <c r="AJ13" s="168" t="s">
        <v>329</v>
      </c>
      <c r="AK13" s="134"/>
      <c r="AL13" s="13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row>
    <row r="14" spans="1:67" s="3" customFormat="1" ht="128.25" customHeight="1" x14ac:dyDescent="0.25">
      <c r="A14" s="135">
        <v>2</v>
      </c>
      <c r="B14" s="183" t="s">
        <v>133</v>
      </c>
      <c r="C14" s="183" t="s">
        <v>227</v>
      </c>
      <c r="D14" s="183" t="s">
        <v>228</v>
      </c>
      <c r="E14" s="183" t="s">
        <v>264</v>
      </c>
      <c r="F14" s="167" t="s">
        <v>122</v>
      </c>
      <c r="G14" s="184">
        <v>300</v>
      </c>
      <c r="H14" s="174" t="str">
        <f t="shared" si="6"/>
        <v>Media</v>
      </c>
      <c r="I14" s="177">
        <f t="shared" si="7"/>
        <v>0.6</v>
      </c>
      <c r="J14" s="162" t="s">
        <v>154</v>
      </c>
      <c r="K14" s="132" t="str">
        <f ca="1">IF(NOT(ISERROR(MATCH(J14,'Tabla Impacto'!$B$221:$B$223,0))),'Tabla Impacto'!$F$223&amp;"Por favor no seleccionar los criterios de impacto(Afectación Económica o presupuestal y Pérdida Reputacional)",J14)</f>
        <v xml:space="preserve">     El riesgo afecta la imagen de de la entidad con efecto publicitario sostenido a nivel de sector administrativo, nivel departamental o municipal</v>
      </c>
      <c r="L14" s="171" t="str">
        <f ca="1">IF(OR(K14='Tabla Impacto'!$C$11,K14='Tabla Impacto'!$D$11),"Leve",IF(OR(K14='Tabla Impacto'!$C$12,K14='Tabla Impacto'!$D$12),"Menor",IF(OR(K14='Tabla Impacto'!$C$13,K14='Tabla Impacto'!$D$13),"Moderado",IF(OR(K14='Tabla Impacto'!$C$14,K14='Tabla Impacto'!$D$14),"Mayor",IF(OR(K14='Tabla Impacto'!$C$15,K14='Tabla Impacto'!$D$15),"Catastrófico","")))))</f>
        <v>Mayor</v>
      </c>
      <c r="M14" s="176">
        <f t="shared" ca="1" si="0"/>
        <v>0.8</v>
      </c>
      <c r="N14" s="181" t="str">
        <f t="shared" ca="1" si="1"/>
        <v>Alto</v>
      </c>
      <c r="O14" s="103">
        <v>2</v>
      </c>
      <c r="P14" s="186" t="s">
        <v>230</v>
      </c>
      <c r="Q14" s="104" t="str">
        <f t="shared" si="2"/>
        <v>Probabilidad</v>
      </c>
      <c r="R14" s="92" t="s">
        <v>14</v>
      </c>
      <c r="S14" s="92" t="s">
        <v>9</v>
      </c>
      <c r="T14" s="93" t="str">
        <f t="shared" si="8"/>
        <v>40%</v>
      </c>
      <c r="U14" s="92" t="s">
        <v>19</v>
      </c>
      <c r="V14" s="92" t="s">
        <v>22</v>
      </c>
      <c r="W14" s="92" t="s">
        <v>118</v>
      </c>
      <c r="X14" s="94">
        <f t="shared" si="9"/>
        <v>0.36</v>
      </c>
      <c r="Y14" s="87" t="str">
        <f t="shared" ref="Y14:Y52" si="10">IFERROR(IF(X14="","",IF(X14&lt;=0.2,"Muy Baja",IF(X14&lt;=0.4,"Baja",IF(X14&lt;=0.6,"Media",IF(X14&lt;=0.8,"Alta","Muy Alta"))))),"")</f>
        <v>Baja</v>
      </c>
      <c r="Z14" s="93">
        <f t="shared" ref="Z14:Z52" si="11">+X14</f>
        <v>0.36</v>
      </c>
      <c r="AA14" s="87" t="str">
        <f t="shared" ca="1" si="3"/>
        <v>Mayor</v>
      </c>
      <c r="AB14" s="93">
        <f t="shared" ca="1" si="4"/>
        <v>0.8</v>
      </c>
      <c r="AC14" s="88" t="str">
        <f t="shared" ca="1" si="5"/>
        <v>Alto</v>
      </c>
      <c r="AD14" s="92" t="s">
        <v>135</v>
      </c>
      <c r="AE14" s="167" t="s">
        <v>234</v>
      </c>
      <c r="AF14" s="165" t="s">
        <v>236</v>
      </c>
      <c r="AG14" s="202">
        <v>2025</v>
      </c>
      <c r="AH14" s="166" t="s">
        <v>270</v>
      </c>
      <c r="AI14" s="167" t="s">
        <v>40</v>
      </c>
      <c r="AJ14" s="168" t="s">
        <v>238</v>
      </c>
      <c r="AK14" s="134"/>
      <c r="AL14" s="13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row>
    <row r="15" spans="1:67" s="3" customFormat="1" ht="104.25" customHeight="1" x14ac:dyDescent="0.25">
      <c r="A15" s="135">
        <v>3</v>
      </c>
      <c r="B15" s="183" t="s">
        <v>133</v>
      </c>
      <c r="C15" s="183" t="s">
        <v>231</v>
      </c>
      <c r="D15" s="183" t="s">
        <v>232</v>
      </c>
      <c r="E15" s="183" t="s">
        <v>226</v>
      </c>
      <c r="F15" s="167" t="s">
        <v>122</v>
      </c>
      <c r="G15" s="197">
        <v>450</v>
      </c>
      <c r="H15" s="173" t="str">
        <f t="shared" si="6"/>
        <v>Media</v>
      </c>
      <c r="I15" s="178">
        <f t="shared" si="7"/>
        <v>0.6</v>
      </c>
      <c r="J15" s="163" t="s">
        <v>154</v>
      </c>
      <c r="K15" s="108" t="str">
        <f ca="1">IF(NOT(ISERROR(MATCH(J15,'Tabla Impacto'!$B$221:$B$223,0))),'Tabla Impacto'!$F$223&amp;"Por favor no seleccionar los criterios de impacto(Afectación Económica o presupuestal y Pérdida Reputacional)",J15)</f>
        <v xml:space="preserve">     El riesgo afecta la imagen de de la entidad con efecto publicitario sostenido a nivel de sector administrativo, nivel departamental o municipal</v>
      </c>
      <c r="L15" s="172" t="str">
        <f ca="1">IF(OR(K15='Tabla Impacto'!$C$11,K15='Tabla Impacto'!$D$11),"Leve",IF(OR(K15='Tabla Impacto'!$C$12,K15='Tabla Impacto'!$D$12),"Menor",IF(OR(K15='Tabla Impacto'!$C$13,K15='Tabla Impacto'!$D$13),"Moderado",IF(OR(K15='Tabla Impacto'!$C$14,K15='Tabla Impacto'!$D$14),"Mayor",IF(OR(K15='Tabla Impacto'!$C$15,K15='Tabla Impacto'!$D$15),"Catastrófico","")))))</f>
        <v>Mayor</v>
      </c>
      <c r="M15" s="180">
        <f t="shared" ca="1" si="0"/>
        <v>0.8</v>
      </c>
      <c r="N15" s="182" t="str">
        <f t="shared" ca="1" si="1"/>
        <v>Alto</v>
      </c>
      <c r="O15" s="123">
        <v>3</v>
      </c>
      <c r="P15" s="186" t="s">
        <v>229</v>
      </c>
      <c r="Q15" s="104" t="str">
        <f t="shared" si="2"/>
        <v>Probabilidad</v>
      </c>
      <c r="R15" s="92" t="s">
        <v>14</v>
      </c>
      <c r="S15" s="92" t="s">
        <v>9</v>
      </c>
      <c r="T15" s="93" t="str">
        <f t="shared" si="8"/>
        <v>40%</v>
      </c>
      <c r="U15" s="92" t="s">
        <v>19</v>
      </c>
      <c r="V15" s="92" t="s">
        <v>22</v>
      </c>
      <c r="W15" s="92" t="s">
        <v>118</v>
      </c>
      <c r="X15" s="94">
        <f t="shared" ref="X15:X16" si="12">IFERROR(IF(Q15="Probabilidad",(I15-(+I15*T15)),IF(Q15="Impacto",I15,"")),"")</f>
        <v>0.36</v>
      </c>
      <c r="Y15" s="87" t="str">
        <f t="shared" si="10"/>
        <v>Baja</v>
      </c>
      <c r="Z15" s="93">
        <f t="shared" si="11"/>
        <v>0.36</v>
      </c>
      <c r="AA15" s="87" t="str">
        <f t="shared" ca="1" si="3"/>
        <v>Mayor</v>
      </c>
      <c r="AB15" s="93">
        <f t="shared" ca="1" si="4"/>
        <v>0.8</v>
      </c>
      <c r="AC15" s="88" t="str">
        <f t="shared" ca="1" si="5"/>
        <v>Alto</v>
      </c>
      <c r="AD15" s="92" t="s">
        <v>135</v>
      </c>
      <c r="AE15" s="167" t="s">
        <v>235</v>
      </c>
      <c r="AF15" s="165" t="s">
        <v>237</v>
      </c>
      <c r="AG15" s="202">
        <v>2025</v>
      </c>
      <c r="AH15" s="166" t="s">
        <v>270</v>
      </c>
      <c r="AI15" s="167" t="s">
        <v>40</v>
      </c>
      <c r="AJ15" s="168" t="s">
        <v>239</v>
      </c>
      <c r="AK15" s="134"/>
      <c r="AL15" s="13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row>
    <row r="16" spans="1:67" s="3" customFormat="1" ht="111" customHeight="1" x14ac:dyDescent="0.25">
      <c r="A16" s="135">
        <v>4</v>
      </c>
      <c r="B16" s="183" t="s">
        <v>131</v>
      </c>
      <c r="C16" s="183" t="s">
        <v>240</v>
      </c>
      <c r="D16" s="183" t="s">
        <v>241</v>
      </c>
      <c r="E16" s="183" t="s">
        <v>337</v>
      </c>
      <c r="F16" s="167" t="s">
        <v>125</v>
      </c>
      <c r="G16" s="184">
        <v>365</v>
      </c>
      <c r="H16" s="175" t="str">
        <f t="shared" si="6"/>
        <v>Media</v>
      </c>
      <c r="I16" s="179">
        <f t="shared" si="7"/>
        <v>0.6</v>
      </c>
      <c r="J16" s="163" t="s">
        <v>154</v>
      </c>
      <c r="K16" s="133" t="str">
        <f ca="1">IF(NOT(ISERROR(MATCH(J16,'Tabla Impacto'!$B$221:$B$223,0))),'Tabla Impacto'!$F$223&amp;"Por favor no seleccionar los criterios de impacto(Afectación Económica o presupuestal y Pérdida Reputacional)",J16)</f>
        <v xml:space="preserve">     El riesgo afecta la imagen de de la entidad con efecto publicitario sostenido a nivel de sector administrativo, nivel departamental o municipal</v>
      </c>
      <c r="L16" s="171" t="str">
        <f ca="1">IF(OR(K16='Tabla Impacto'!$C$11,K16='Tabla Impacto'!$D$11),"Leve",IF(OR(K16='Tabla Impacto'!$C$12,K16='Tabla Impacto'!$D$12),"Menor",IF(OR(K16='Tabla Impacto'!$C$13,K16='Tabla Impacto'!$D$13),"Moderado",IF(OR(K16='Tabla Impacto'!$C$14,K16='Tabla Impacto'!$D$14),"Mayor",IF(OR(K16='Tabla Impacto'!$C$15,K16='Tabla Impacto'!$D$15),"Catastrófico","")))))</f>
        <v>Mayor</v>
      </c>
      <c r="M16" s="176">
        <f t="shared" ca="1" si="0"/>
        <v>0.8</v>
      </c>
      <c r="N16" s="181" t="str">
        <f t="shared" ca="1" si="1"/>
        <v>Alto</v>
      </c>
      <c r="O16" s="204">
        <v>4</v>
      </c>
      <c r="P16" s="186" t="s">
        <v>340</v>
      </c>
      <c r="Q16" s="104" t="str">
        <f t="shared" ref="Q16:Q19" si="13">IF(OR(R16="Preventivo",R16="Detectivo"),"Probabilidad",IF(R16="Correctivo","Impacto",""))</f>
        <v>Probabilidad</v>
      </c>
      <c r="R16" s="92" t="s">
        <v>14</v>
      </c>
      <c r="S16" s="92" t="s">
        <v>9</v>
      </c>
      <c r="T16" s="93" t="str">
        <f t="shared" si="8"/>
        <v>40%</v>
      </c>
      <c r="U16" s="92" t="s">
        <v>19</v>
      </c>
      <c r="V16" s="92" t="s">
        <v>22</v>
      </c>
      <c r="W16" s="92" t="s">
        <v>118</v>
      </c>
      <c r="X16" s="94">
        <f t="shared" si="12"/>
        <v>0.36</v>
      </c>
      <c r="Y16" s="87" t="str">
        <f t="shared" si="10"/>
        <v>Baja</v>
      </c>
      <c r="Z16" s="93">
        <f t="shared" si="11"/>
        <v>0.36</v>
      </c>
      <c r="AA16" s="87" t="str">
        <f t="shared" ca="1" si="3"/>
        <v>Mayor</v>
      </c>
      <c r="AB16" s="93">
        <f t="shared" ca="1" si="4"/>
        <v>0.8</v>
      </c>
      <c r="AC16" s="88" t="str">
        <f t="shared" ca="1" si="5"/>
        <v>Alto</v>
      </c>
      <c r="AD16" s="92"/>
      <c r="AE16" s="167" t="s">
        <v>242</v>
      </c>
      <c r="AF16" s="169" t="s">
        <v>243</v>
      </c>
      <c r="AG16" s="202">
        <v>2025</v>
      </c>
      <c r="AH16" s="166" t="s">
        <v>219</v>
      </c>
      <c r="AI16" s="167" t="s">
        <v>40</v>
      </c>
      <c r="AJ16" s="168" t="s">
        <v>244</v>
      </c>
      <c r="AK16" s="134"/>
      <c r="AL16" s="13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row>
    <row r="17" spans="1:67" ht="169.5" customHeight="1" x14ac:dyDescent="0.3">
      <c r="A17" s="135">
        <v>5</v>
      </c>
      <c r="B17" s="183" t="s">
        <v>131</v>
      </c>
      <c r="C17" s="183" t="s">
        <v>246</v>
      </c>
      <c r="D17" s="183" t="s">
        <v>247</v>
      </c>
      <c r="E17" s="183" t="s">
        <v>245</v>
      </c>
      <c r="F17" s="167" t="s">
        <v>127</v>
      </c>
      <c r="G17" s="197">
        <v>365</v>
      </c>
      <c r="H17" s="173" t="str">
        <f>IF(G17&lt;=0,"",IF(G17&lt;=2,"Muy Baja",IF(G17&lt;=24,"Baja",IF(G17&lt;=500,"Media",IF(G17&lt;=5000,"Alta","Muy Alta")))))</f>
        <v>Media</v>
      </c>
      <c r="I17" s="178">
        <f>IF(H17="","",IF(H17="Muy Baja",0.2,IF(H17="Baja",0.4,IF(H17="Media",0.6,IF(H17="Alta",0.8,IF(H17="Muy Alta",1,))))))</f>
        <v>0.6</v>
      </c>
      <c r="J17" s="163" t="s">
        <v>154</v>
      </c>
      <c r="K17" s="265" t="str">
        <f ca="1">IF(NOT(ISERROR(MATCH(J17,'Tabla Impacto'!$B$221:$B$223,0))),'Tabla Impacto'!$F$223&amp;"Por favor no seleccionar los criterios de impacto(Afectación Económica o presupuestal y Pérdida Reputacional)",J17)</f>
        <v xml:space="preserve">     El riesgo afecta la imagen de de la entidad con efecto publicitario sostenido a nivel de sector administrativo, nivel departamental o municipal</v>
      </c>
      <c r="L17" s="172" t="str">
        <f ca="1">IF(OR(K17='Tabla Impacto'!$C$11,K17='Tabla Impacto'!$D$11),"Leve",IF(OR(K17='Tabla Impacto'!$C$12,K17='Tabla Impacto'!$D$12),"Menor",IF(OR(K17='Tabla Impacto'!$C$13,K17='Tabla Impacto'!$D$13),"Moderado",IF(OR(K17='Tabla Impacto'!$C$14,K17='Tabla Impacto'!$D$14),"Mayor",IF(OR(K17='Tabla Impacto'!$C$15,K17='Tabla Impacto'!$D$15),"Catastrófico","")))))</f>
        <v>Mayor</v>
      </c>
      <c r="M17" s="178">
        <f t="shared" ca="1" si="0"/>
        <v>0.8</v>
      </c>
      <c r="N17" s="181" t="str">
        <f t="shared" ca="1" si="1"/>
        <v>Alto</v>
      </c>
      <c r="O17" s="204">
        <v>5</v>
      </c>
      <c r="P17" s="186" t="s">
        <v>351</v>
      </c>
      <c r="Q17" s="91" t="str">
        <f t="shared" si="13"/>
        <v>Probabilidad</v>
      </c>
      <c r="R17" s="92" t="s">
        <v>14</v>
      </c>
      <c r="S17" s="92" t="s">
        <v>9</v>
      </c>
      <c r="T17" s="93" t="str">
        <f t="shared" si="8"/>
        <v>40%</v>
      </c>
      <c r="U17" s="92" t="s">
        <v>19</v>
      </c>
      <c r="V17" s="92" t="s">
        <v>22</v>
      </c>
      <c r="W17" s="92" t="s">
        <v>118</v>
      </c>
      <c r="X17" s="94">
        <f>IFERROR(IF(Q17="Probabilidad",(I17-(+I17*T17)),IF(Q17="Impacto",I17,"")),"")</f>
        <v>0.36</v>
      </c>
      <c r="Y17" s="87" t="str">
        <f t="shared" si="10"/>
        <v>Baja</v>
      </c>
      <c r="Z17" s="93">
        <f t="shared" si="11"/>
        <v>0.36</v>
      </c>
      <c r="AA17" s="87" t="str">
        <f t="shared" ca="1" si="3"/>
        <v>Mayor</v>
      </c>
      <c r="AB17" s="93">
        <f t="shared" ca="1" si="4"/>
        <v>0.8</v>
      </c>
      <c r="AC17" s="88" t="str">
        <f t="shared" ca="1" si="5"/>
        <v>Alto</v>
      </c>
      <c r="AD17" s="92" t="s">
        <v>135</v>
      </c>
      <c r="AE17" s="167" t="s">
        <v>248</v>
      </c>
      <c r="AF17" s="165" t="s">
        <v>249</v>
      </c>
      <c r="AG17" s="202">
        <v>2025</v>
      </c>
      <c r="AH17" s="166" t="s">
        <v>219</v>
      </c>
      <c r="AI17" s="167" t="s">
        <v>40</v>
      </c>
      <c r="AJ17" s="168" t="s">
        <v>339</v>
      </c>
      <c r="AK17" s="125"/>
      <c r="AL17" s="134"/>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row>
    <row r="18" spans="1:67" ht="104.25" customHeight="1" x14ac:dyDescent="0.3">
      <c r="A18" s="135">
        <v>6</v>
      </c>
      <c r="B18" s="167" t="s">
        <v>132</v>
      </c>
      <c r="C18" s="167" t="s">
        <v>251</v>
      </c>
      <c r="D18" s="167" t="s">
        <v>252</v>
      </c>
      <c r="E18" s="183" t="s">
        <v>250</v>
      </c>
      <c r="F18" s="167" t="s">
        <v>124</v>
      </c>
      <c r="G18" s="184">
        <v>12</v>
      </c>
      <c r="H18" s="173" t="str">
        <f t="shared" ref="H18:H28" si="14">IF(G18&lt;=0,"",IF(G18&lt;=2,"Muy Baja",IF(G18&lt;=24,"Baja",IF(G18&lt;=500,"Media",IF(G18&lt;=5000,"Alta","Muy Alta")))))</f>
        <v>Baja</v>
      </c>
      <c r="I18" s="178">
        <f t="shared" ref="I18:I28" si="15">IF(H18="","",IF(H18="Muy Baja",0.2,IF(H18="Baja",0.4,IF(H18="Media",0.6,IF(H18="Alta",0.8,IF(H18="Muy Alta",1,))))))</f>
        <v>0.4</v>
      </c>
      <c r="J18" s="164" t="s">
        <v>154</v>
      </c>
      <c r="K18" s="265" t="str">
        <f ca="1">IF(NOT(ISERROR(MATCH(J18,_xlfn.ANCHORARRAY(E29),0))),I31&amp;"Por favor no seleccionar los criterios de impacto",J18)</f>
        <v xml:space="preserve">     El riesgo afecta la imagen de de la entidad con efecto publicitario sostenido a nivel de sector administrativo, nivel departamental o municipal</v>
      </c>
      <c r="L18" s="172" t="str">
        <f ca="1">IF(OR(K18='Tabla Impacto'!$C$11,K18='Tabla Impacto'!$D$11),"Leve",IF(OR(K18='Tabla Impacto'!$C$12,K18='Tabla Impacto'!$D$12),"Menor",IF(OR(K18='Tabla Impacto'!$C$13,K18='Tabla Impacto'!$D$13),"Moderado",IF(OR(K18='Tabla Impacto'!$C$14,K18='Tabla Impacto'!$D$14),"Mayor",IF(OR(K18='Tabla Impacto'!$C$15,K18='Tabla Impacto'!$D$15),"Catastrófico","")))))</f>
        <v>Mayor</v>
      </c>
      <c r="M18" s="178">
        <f t="shared" ca="1" si="0"/>
        <v>0.8</v>
      </c>
      <c r="N18" s="181" t="str">
        <f t="shared" ca="1" si="1"/>
        <v>Alto</v>
      </c>
      <c r="O18" s="204">
        <v>6</v>
      </c>
      <c r="P18" s="186" t="s">
        <v>253</v>
      </c>
      <c r="Q18" s="91" t="str">
        <f t="shared" si="13"/>
        <v>Probabilidad</v>
      </c>
      <c r="R18" s="92" t="s">
        <v>14</v>
      </c>
      <c r="S18" s="92" t="s">
        <v>9</v>
      </c>
      <c r="T18" s="93" t="str">
        <f t="shared" si="8"/>
        <v>40%</v>
      </c>
      <c r="U18" s="92" t="s">
        <v>19</v>
      </c>
      <c r="V18" s="92" t="s">
        <v>22</v>
      </c>
      <c r="W18" s="92" t="s">
        <v>118</v>
      </c>
      <c r="X18" s="94">
        <f>IFERROR(IF(Q18="Probabilidad",(I18-(+I18*T18)),IF(Q18="Impacto",I18,"")),"")</f>
        <v>0.24</v>
      </c>
      <c r="Y18" s="87" t="str">
        <f t="shared" si="10"/>
        <v>Baja</v>
      </c>
      <c r="Z18" s="93">
        <f t="shared" si="11"/>
        <v>0.24</v>
      </c>
      <c r="AA18" s="87" t="str">
        <f t="shared" ca="1" si="3"/>
        <v>Mayor</v>
      </c>
      <c r="AB18" s="93">
        <f t="shared" ca="1" si="4"/>
        <v>0.8</v>
      </c>
      <c r="AC18" s="88" t="str">
        <f t="shared" ca="1" si="5"/>
        <v>Alto</v>
      </c>
      <c r="AD18" s="92" t="s">
        <v>135</v>
      </c>
      <c r="AE18" s="167" t="s">
        <v>254</v>
      </c>
      <c r="AF18" s="165" t="s">
        <v>255</v>
      </c>
      <c r="AG18" s="202">
        <v>2025</v>
      </c>
      <c r="AH18" s="166" t="s">
        <v>219</v>
      </c>
      <c r="AI18" s="167" t="s">
        <v>40</v>
      </c>
      <c r="AJ18" s="168" t="s">
        <v>256</v>
      </c>
      <c r="AK18" s="125"/>
      <c r="AL18" s="134"/>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row>
    <row r="19" spans="1:67" ht="144.75" customHeight="1" x14ac:dyDescent="0.3">
      <c r="A19" s="135">
        <v>7</v>
      </c>
      <c r="B19" s="167" t="s">
        <v>133</v>
      </c>
      <c r="C19" s="167" t="s">
        <v>257</v>
      </c>
      <c r="D19" s="167" t="s">
        <v>258</v>
      </c>
      <c r="E19" s="183" t="s">
        <v>361</v>
      </c>
      <c r="F19" s="167" t="s">
        <v>124</v>
      </c>
      <c r="G19" s="184">
        <v>35</v>
      </c>
      <c r="H19" s="173" t="str">
        <f t="shared" si="14"/>
        <v>Media</v>
      </c>
      <c r="I19" s="178">
        <f t="shared" si="15"/>
        <v>0.6</v>
      </c>
      <c r="J19" s="164" t="s">
        <v>154</v>
      </c>
      <c r="K19" s="265" t="str">
        <f ca="1">IF(NOT(ISERROR(MATCH(J19,_xlfn.ANCHORARRAY(E30),0))),I32&amp;"Por favor no seleccionar los criterios de impacto",J19)</f>
        <v xml:space="preserve">     El riesgo afecta la imagen de de la entidad con efecto publicitario sostenido a nivel de sector administrativo, nivel departamental o municipal</v>
      </c>
      <c r="L19" s="172" t="str">
        <f ca="1">IF(OR(K19='Tabla Impacto'!$C$11,K19='Tabla Impacto'!$D$11),"Leve",IF(OR(K19='Tabla Impacto'!$C$12,K19='Tabla Impacto'!$D$12),"Menor",IF(OR(K19='Tabla Impacto'!$C$13,K19='Tabla Impacto'!$D$13),"Moderado",IF(OR(K19='Tabla Impacto'!$C$14,K19='Tabla Impacto'!$D$14),"Mayor",IF(OR(K19='Tabla Impacto'!$C$15,K19='Tabla Impacto'!$D$15),"Catastrófico","")))))</f>
        <v>Mayor</v>
      </c>
      <c r="M19" s="178">
        <f t="shared" ca="1" si="0"/>
        <v>0.8</v>
      </c>
      <c r="N19" s="181" t="str">
        <f t="shared" ca="1" si="1"/>
        <v>Alto</v>
      </c>
      <c r="O19" s="204">
        <v>7</v>
      </c>
      <c r="P19" s="186" t="s">
        <v>259</v>
      </c>
      <c r="Q19" s="91" t="str">
        <f t="shared" si="13"/>
        <v>Probabilidad</v>
      </c>
      <c r="R19" s="92" t="s">
        <v>15</v>
      </c>
      <c r="S19" s="92" t="s">
        <v>9</v>
      </c>
      <c r="T19" s="93" t="str">
        <f t="shared" si="8"/>
        <v>30%</v>
      </c>
      <c r="U19" s="92" t="s">
        <v>19</v>
      </c>
      <c r="V19" s="92" t="s">
        <v>22</v>
      </c>
      <c r="W19" s="92" t="s">
        <v>118</v>
      </c>
      <c r="X19" s="94">
        <f t="shared" ref="X19:X29" si="16">IFERROR(IF(Q19="Probabilidad",(I19-(+I19*T19)),IF(Q19="Impacto",I19,"")),"")</f>
        <v>0.42</v>
      </c>
      <c r="Y19" s="87" t="str">
        <f t="shared" si="10"/>
        <v>Media</v>
      </c>
      <c r="Z19" s="93">
        <f t="shared" si="11"/>
        <v>0.42</v>
      </c>
      <c r="AA19" s="87" t="str">
        <f t="shared" ca="1" si="3"/>
        <v>Mayor</v>
      </c>
      <c r="AB19" s="93">
        <f t="shared" ca="1" si="4"/>
        <v>0.8</v>
      </c>
      <c r="AC19" s="88" t="str">
        <f t="shared" ca="1" si="5"/>
        <v>Alto</v>
      </c>
      <c r="AD19" s="92" t="s">
        <v>135</v>
      </c>
      <c r="AE19" s="167" t="s">
        <v>260</v>
      </c>
      <c r="AF19" s="169" t="s">
        <v>236</v>
      </c>
      <c r="AG19" s="202">
        <v>2025</v>
      </c>
      <c r="AH19" s="166" t="s">
        <v>263</v>
      </c>
      <c r="AI19" s="167" t="s">
        <v>40</v>
      </c>
      <c r="AJ19" s="168" t="s">
        <v>262</v>
      </c>
      <c r="AK19" s="125"/>
      <c r="AL19" s="134"/>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row>
    <row r="20" spans="1:67" ht="153.75" customHeight="1" x14ac:dyDescent="0.3">
      <c r="A20" s="135">
        <v>8</v>
      </c>
      <c r="B20" s="167" t="s">
        <v>133</v>
      </c>
      <c r="C20" s="167" t="s">
        <v>265</v>
      </c>
      <c r="D20" s="167" t="s">
        <v>266</v>
      </c>
      <c r="E20" s="183" t="s">
        <v>313</v>
      </c>
      <c r="F20" s="184" t="s">
        <v>124</v>
      </c>
      <c r="G20" s="197">
        <v>5640</v>
      </c>
      <c r="H20" s="173" t="str">
        <f t="shared" si="14"/>
        <v>Muy Alta</v>
      </c>
      <c r="I20" s="178">
        <f t="shared" si="15"/>
        <v>1</v>
      </c>
      <c r="J20" s="164" t="s">
        <v>154</v>
      </c>
      <c r="K20" s="265" t="str">
        <f ca="1">IF(NOT(ISERROR(MATCH(J20,_xlfn.ANCHORARRAY(E31),0))),I33&amp;"Por favor no seleccionar los criterios de impacto",J20)</f>
        <v xml:space="preserve">     El riesgo afecta la imagen de de la entidad con efecto publicitario sostenido a nivel de sector administrativo, nivel departamental o municipal</v>
      </c>
      <c r="L20" s="172" t="str">
        <f ca="1">IF(OR(K20='Tabla Impacto'!$C$11,K20='Tabla Impacto'!$D$11),"Leve",IF(OR(K20='Tabla Impacto'!$C$12,K20='Tabla Impacto'!$D$12),"Menor",IF(OR(K20='Tabla Impacto'!$C$13,K20='Tabla Impacto'!$D$13),"Moderado",IF(OR(K20='Tabla Impacto'!$C$14,K20='Tabla Impacto'!$D$14),"Mayor",IF(OR(K20='Tabla Impacto'!$C$15,K20='Tabla Impacto'!$D$15),"Catastrófico","")))))</f>
        <v>Mayor</v>
      </c>
      <c r="M20" s="178">
        <f t="shared" ca="1" si="0"/>
        <v>0.8</v>
      </c>
      <c r="N20" s="181" t="str">
        <f t="shared" ca="1" si="1"/>
        <v>Alto</v>
      </c>
      <c r="O20" s="204">
        <v>8</v>
      </c>
      <c r="P20" s="187" t="s">
        <v>314</v>
      </c>
      <c r="Q20" s="201" t="str">
        <f t="shared" ref="Q20:Q22" si="17">IF(OR(R20="Preventivo",R20="Detectivo"),"Probabilidad",IF(R20="Correctivo","Impacto",""))</f>
        <v>Probabilidad</v>
      </c>
      <c r="R20" s="92" t="s">
        <v>14</v>
      </c>
      <c r="S20" s="92" t="s">
        <v>9</v>
      </c>
      <c r="T20" s="93" t="str">
        <f t="shared" si="8"/>
        <v>40%</v>
      </c>
      <c r="U20" s="92" t="s">
        <v>19</v>
      </c>
      <c r="V20" s="92" t="s">
        <v>22</v>
      </c>
      <c r="W20" s="92" t="s">
        <v>118</v>
      </c>
      <c r="X20" s="94">
        <f t="shared" si="16"/>
        <v>0.6</v>
      </c>
      <c r="Y20" s="87" t="str">
        <f t="shared" si="10"/>
        <v>Media</v>
      </c>
      <c r="Z20" s="93">
        <f t="shared" ref="Z20:Z21" si="18">+X20</f>
        <v>0.6</v>
      </c>
      <c r="AA20" s="87" t="str">
        <f t="shared" ca="1" si="3"/>
        <v>Mayor</v>
      </c>
      <c r="AB20" s="93">
        <f t="shared" ca="1" si="4"/>
        <v>0.8</v>
      </c>
      <c r="AC20" s="88" t="str">
        <f t="shared" ca="1" si="5"/>
        <v>Alto</v>
      </c>
      <c r="AD20" s="92" t="s">
        <v>135</v>
      </c>
      <c r="AE20" s="167" t="s">
        <v>362</v>
      </c>
      <c r="AF20" s="165" t="s">
        <v>249</v>
      </c>
      <c r="AG20" s="202">
        <v>2025</v>
      </c>
      <c r="AH20" s="166" t="s">
        <v>263</v>
      </c>
      <c r="AI20" s="167" t="s">
        <v>40</v>
      </c>
      <c r="AJ20" s="168" t="s">
        <v>331</v>
      </c>
      <c r="AK20" s="125"/>
      <c r="AL20" s="134"/>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row>
    <row r="21" spans="1:67" ht="105" x14ac:dyDescent="0.3">
      <c r="A21" s="135">
        <v>9</v>
      </c>
      <c r="B21" s="167" t="s">
        <v>133</v>
      </c>
      <c r="C21" s="167" t="s">
        <v>265</v>
      </c>
      <c r="D21" s="167" t="s">
        <v>266</v>
      </c>
      <c r="E21" s="183" t="s">
        <v>315</v>
      </c>
      <c r="F21" s="185" t="s">
        <v>122</v>
      </c>
      <c r="G21" s="197">
        <v>5640</v>
      </c>
      <c r="H21" s="173" t="str">
        <f t="shared" si="14"/>
        <v>Muy Alta</v>
      </c>
      <c r="I21" s="178">
        <f t="shared" si="15"/>
        <v>1</v>
      </c>
      <c r="J21" s="163" t="s">
        <v>154</v>
      </c>
      <c r="K21" s="265" t="str">
        <f ca="1">IF(NOT(ISERROR(MATCH(J21,_xlfn.ANCHORARRAY(E32),0))),I34&amp;"Por favor no seleccionar los criterios de impacto",J21)</f>
        <v xml:space="preserve">     El riesgo afecta la imagen de de la entidad con efecto publicitario sostenido a nivel de sector administrativo, nivel departamental o municipal</v>
      </c>
      <c r="L21" s="172" t="str">
        <f ca="1">IF(OR(K21='Tabla Impacto'!$C$11,K21='Tabla Impacto'!$D$11),"Leve",IF(OR(K21='Tabla Impacto'!$C$12,K21='Tabla Impacto'!$D$12),"Menor",IF(OR(K21='Tabla Impacto'!$C$13,K21='Tabla Impacto'!$D$13),"Moderado",IF(OR(K21='Tabla Impacto'!$C$14,K21='Tabla Impacto'!$D$14),"Mayor",IF(OR(K21='Tabla Impacto'!$C$15,K21='Tabla Impacto'!$D$15),"Catastrófico","")))))</f>
        <v>Mayor</v>
      </c>
      <c r="M21" s="178">
        <f t="shared" ca="1" si="0"/>
        <v>0.8</v>
      </c>
      <c r="N21" s="181" t="str">
        <f t="shared" ca="1" si="1"/>
        <v>Alto</v>
      </c>
      <c r="O21" s="204">
        <v>9</v>
      </c>
      <c r="P21" s="186" t="s">
        <v>319</v>
      </c>
      <c r="Q21" s="201" t="str">
        <f t="shared" si="17"/>
        <v>Probabilidad</v>
      </c>
      <c r="R21" s="92" t="s">
        <v>14</v>
      </c>
      <c r="S21" s="92" t="s">
        <v>9</v>
      </c>
      <c r="T21" s="93" t="str">
        <f t="shared" si="8"/>
        <v>40%</v>
      </c>
      <c r="U21" s="92" t="s">
        <v>19</v>
      </c>
      <c r="V21" s="92" t="s">
        <v>22</v>
      </c>
      <c r="W21" s="92" t="s">
        <v>118</v>
      </c>
      <c r="X21" s="94">
        <f t="shared" si="16"/>
        <v>0.6</v>
      </c>
      <c r="Y21" s="87" t="str">
        <f t="shared" si="10"/>
        <v>Media</v>
      </c>
      <c r="Z21" s="93">
        <f t="shared" si="18"/>
        <v>0.6</v>
      </c>
      <c r="AA21" s="87" t="str">
        <f t="shared" ca="1" si="3"/>
        <v>Mayor</v>
      </c>
      <c r="AB21" s="93">
        <f t="shared" ca="1" si="4"/>
        <v>0.8</v>
      </c>
      <c r="AC21" s="88" t="str">
        <f t="shared" ca="1" si="5"/>
        <v>Alto</v>
      </c>
      <c r="AD21" s="92" t="s">
        <v>135</v>
      </c>
      <c r="AE21" s="167" t="s">
        <v>363</v>
      </c>
      <c r="AF21" s="165" t="s">
        <v>321</v>
      </c>
      <c r="AG21" s="202">
        <v>2025</v>
      </c>
      <c r="AH21" s="166" t="s">
        <v>219</v>
      </c>
      <c r="AI21" s="167" t="s">
        <v>40</v>
      </c>
      <c r="AJ21" s="168" t="s">
        <v>324</v>
      </c>
      <c r="AK21" s="125"/>
      <c r="AL21" s="134"/>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row>
    <row r="22" spans="1:67" ht="150.75" customHeight="1" x14ac:dyDescent="0.3">
      <c r="A22" s="135">
        <v>10</v>
      </c>
      <c r="B22" s="170" t="s">
        <v>133</v>
      </c>
      <c r="C22" s="167" t="s">
        <v>316</v>
      </c>
      <c r="D22" s="167" t="s">
        <v>317</v>
      </c>
      <c r="E22" s="183" t="s">
        <v>318</v>
      </c>
      <c r="F22" s="185" t="s">
        <v>122</v>
      </c>
      <c r="G22" s="197">
        <v>5640</v>
      </c>
      <c r="H22" s="173" t="str">
        <f t="shared" si="14"/>
        <v>Muy Alta</v>
      </c>
      <c r="I22" s="178">
        <f t="shared" si="15"/>
        <v>1</v>
      </c>
      <c r="J22" s="163" t="s">
        <v>154</v>
      </c>
      <c r="K22" s="265" t="str">
        <f ca="1">IF(NOT(ISERROR(MATCH(J22,_xlfn.ANCHORARRAY(E33),0))),I35&amp;"Por favor no seleccionar los criterios de impacto",J22)</f>
        <v xml:space="preserve">     El riesgo afecta la imagen de de la entidad con efecto publicitario sostenido a nivel de sector administrativo, nivel departamental o municipal</v>
      </c>
      <c r="L22" s="172" t="str">
        <f ca="1">IF(OR(K22='Tabla Impacto'!$C$11,K22='Tabla Impacto'!$D$11),"Leve",IF(OR(K22='Tabla Impacto'!$C$12,K22='Tabla Impacto'!$D$12),"Menor",IF(OR(K22='Tabla Impacto'!$C$13,K22='Tabla Impacto'!$D$13),"Moderado",IF(OR(K22='Tabla Impacto'!$C$14,K22='Tabla Impacto'!$D$14),"Mayor",IF(OR(K22='Tabla Impacto'!$C$15,K22='Tabla Impacto'!$D$15),"Catastrófico","")))))</f>
        <v>Mayor</v>
      </c>
      <c r="M22" s="178">
        <f t="shared" ca="1" si="0"/>
        <v>0.8</v>
      </c>
      <c r="N22" s="181" t="str">
        <f t="shared" ca="1" si="1"/>
        <v>Alto</v>
      </c>
      <c r="O22" s="204">
        <v>10</v>
      </c>
      <c r="P22" s="186" t="s">
        <v>320</v>
      </c>
      <c r="Q22" s="201" t="str">
        <f t="shared" si="17"/>
        <v>Probabilidad</v>
      </c>
      <c r="R22" s="92" t="s">
        <v>14</v>
      </c>
      <c r="S22" s="92" t="s">
        <v>9</v>
      </c>
      <c r="T22" s="93" t="str">
        <f t="shared" si="8"/>
        <v>40%</v>
      </c>
      <c r="U22" s="92" t="s">
        <v>19</v>
      </c>
      <c r="V22" s="92" t="s">
        <v>22</v>
      </c>
      <c r="W22" s="92" t="s">
        <v>118</v>
      </c>
      <c r="X22" s="94">
        <f t="shared" si="16"/>
        <v>0.6</v>
      </c>
      <c r="Y22" s="87" t="str">
        <f t="shared" si="10"/>
        <v>Media</v>
      </c>
      <c r="Z22" s="93">
        <f t="shared" si="11"/>
        <v>0.6</v>
      </c>
      <c r="AA22" s="87" t="str">
        <f t="shared" ca="1" si="3"/>
        <v>Mayor</v>
      </c>
      <c r="AB22" s="93">
        <f t="shared" ca="1" si="4"/>
        <v>0.8</v>
      </c>
      <c r="AC22" s="88" t="str">
        <f t="shared" ca="1" si="5"/>
        <v>Alto</v>
      </c>
      <c r="AD22" s="92" t="s">
        <v>135</v>
      </c>
      <c r="AE22" s="167" t="s">
        <v>322</v>
      </c>
      <c r="AF22" s="165" t="s">
        <v>360</v>
      </c>
      <c r="AG22" s="202">
        <v>2025</v>
      </c>
      <c r="AH22" s="166" t="s">
        <v>263</v>
      </c>
      <c r="AI22" s="167" t="s">
        <v>40</v>
      </c>
      <c r="AJ22" s="168" t="s">
        <v>323</v>
      </c>
      <c r="AK22" s="125"/>
      <c r="AL22" s="134"/>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row>
    <row r="23" spans="1:67" ht="200.25" customHeight="1" x14ac:dyDescent="0.3">
      <c r="A23" s="135">
        <v>11</v>
      </c>
      <c r="B23" s="183" t="s">
        <v>133</v>
      </c>
      <c r="C23" s="167" t="s">
        <v>271</v>
      </c>
      <c r="D23" s="167" t="s">
        <v>272</v>
      </c>
      <c r="E23" s="183" t="s">
        <v>267</v>
      </c>
      <c r="F23" s="185" t="s">
        <v>122</v>
      </c>
      <c r="G23" s="197">
        <v>350</v>
      </c>
      <c r="H23" s="173" t="str">
        <f t="shared" si="14"/>
        <v>Media</v>
      </c>
      <c r="I23" s="178">
        <f t="shared" si="15"/>
        <v>0.6</v>
      </c>
      <c r="J23" s="163" t="s">
        <v>154</v>
      </c>
      <c r="K23" s="265" t="str">
        <f ca="1">IF(NOT(ISERROR(MATCH(J23,'Tabla Impacto'!$B$221:$B$223,0))),'Tabla Impacto'!$F$223&amp;"Por favor no seleccionar los criterios de impacto(Afectación Económica o presupuestal y Pérdida Reputacional)",J23)</f>
        <v xml:space="preserve">     El riesgo afecta la imagen de de la entidad con efecto publicitario sostenido a nivel de sector administrativo, nivel departamental o municipal</v>
      </c>
      <c r="L23" s="173" t="str">
        <f ca="1">IF(OR(K23='Tabla Impacto'!$C$11,K23='Tabla Impacto'!$D$11),"Leve",IF(OR(K23='Tabla Impacto'!$C$12,K23='Tabla Impacto'!$D$12),"Menor",IF(OR(K23='Tabla Impacto'!$C$13,K23='Tabla Impacto'!$D$13),"Moderado",IF(OR(K23='Tabla Impacto'!$C$14,K23='Tabla Impacto'!$D$14),"Mayor",IF(OR(K23='Tabla Impacto'!$C$15,K23='Tabla Impacto'!$D$15),"Catastrófico","")))))</f>
        <v>Mayor</v>
      </c>
      <c r="M23" s="178">
        <f t="shared" ca="1" si="0"/>
        <v>0.8</v>
      </c>
      <c r="N23" s="181" t="str">
        <f t="shared" ca="1" si="1"/>
        <v>Alto</v>
      </c>
      <c r="O23" s="204">
        <v>11</v>
      </c>
      <c r="P23" s="186" t="s">
        <v>268</v>
      </c>
      <c r="Q23" s="201" t="str">
        <f>IF(OR(R23="Preventivo",R23="Detectivo"),"Probabilidad",IF(R23="Correctivo","Impacto",""))</f>
        <v>Probabilidad</v>
      </c>
      <c r="R23" s="92" t="s">
        <v>14</v>
      </c>
      <c r="S23" s="92" t="s">
        <v>10</v>
      </c>
      <c r="T23" s="93" t="str">
        <f t="shared" si="8"/>
        <v>50%</v>
      </c>
      <c r="U23" s="92" t="s">
        <v>19</v>
      </c>
      <c r="V23" s="92" t="s">
        <v>22</v>
      </c>
      <c r="W23" s="92" t="s">
        <v>118</v>
      </c>
      <c r="X23" s="94">
        <f t="shared" si="16"/>
        <v>0.3</v>
      </c>
      <c r="Y23" s="87" t="str">
        <f t="shared" si="10"/>
        <v>Baja</v>
      </c>
      <c r="Z23" s="93">
        <f t="shared" si="11"/>
        <v>0.3</v>
      </c>
      <c r="AA23" s="87" t="str">
        <f t="shared" ca="1" si="3"/>
        <v>Mayor</v>
      </c>
      <c r="AB23" s="93">
        <f t="shared" ca="1" si="4"/>
        <v>0.8</v>
      </c>
      <c r="AC23" s="88" t="str">
        <f t="shared" ca="1" si="5"/>
        <v>Alto</v>
      </c>
      <c r="AD23" s="92" t="s">
        <v>135</v>
      </c>
      <c r="AE23" s="167" t="s">
        <v>269</v>
      </c>
      <c r="AF23" s="165" t="s">
        <v>249</v>
      </c>
      <c r="AG23" s="202">
        <v>2025</v>
      </c>
      <c r="AH23" s="166" t="s">
        <v>263</v>
      </c>
      <c r="AI23" s="167" t="s">
        <v>40</v>
      </c>
      <c r="AJ23" s="168" t="s">
        <v>273</v>
      </c>
      <c r="AK23" s="125"/>
      <c r="AL23" s="134"/>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row>
    <row r="24" spans="1:67" ht="227.25" hidden="1" customHeight="1" x14ac:dyDescent="0.3">
      <c r="A24" s="135">
        <v>12</v>
      </c>
      <c r="B24" s="129" t="s">
        <v>133</v>
      </c>
      <c r="C24" s="129" t="s">
        <v>345</v>
      </c>
      <c r="D24" s="129" t="s">
        <v>346</v>
      </c>
      <c r="E24" s="136" t="s">
        <v>344</v>
      </c>
      <c r="F24" s="185" t="s">
        <v>122</v>
      </c>
      <c r="G24" s="197">
        <v>2</v>
      </c>
      <c r="H24" s="124" t="str">
        <f t="shared" si="14"/>
        <v>Muy Baja</v>
      </c>
      <c r="I24" s="118">
        <f t="shared" si="15"/>
        <v>0.2</v>
      </c>
      <c r="J24" s="119" t="s">
        <v>153</v>
      </c>
      <c r="K24" s="265" t="str">
        <f ca="1">IF(NOT(ISERROR(MATCH(J24,_xlfn.ANCHORARRAY(E35),0))),I37&amp;"Por favor no seleccionar los criterios de impacto",J24)</f>
        <v xml:space="preserve">     El riesgo afecta la imagen de la entidad con algunos usuarios de relevancia frente al logro de los objetivos</v>
      </c>
      <c r="L24" s="107" t="str">
        <f ca="1">IF(OR(K24='Tabla Impacto'!$C$11,K24='Tabla Impacto'!$D$11),"Leve",IF(OR(K24='Tabla Impacto'!$C$12,K24='Tabla Impacto'!$D$12),"Menor",IF(OR(K24='Tabla Impacto'!$C$13,K24='Tabla Impacto'!$D$13),"Moderado",IF(OR(K24='Tabla Impacto'!$C$14,K24='Tabla Impacto'!$D$14),"Mayor",IF(OR(K24='Tabla Impacto'!$C$15,K24='Tabla Impacto'!$D$15),"Catastrófico","")))))</f>
        <v>Moderado</v>
      </c>
      <c r="M24" s="108">
        <f t="shared" ca="1" si="0"/>
        <v>0.6</v>
      </c>
      <c r="N24" s="131" t="str">
        <f t="shared" ca="1" si="1"/>
        <v>Moderado</v>
      </c>
      <c r="O24" s="204">
        <v>12</v>
      </c>
      <c r="P24" s="186" t="s">
        <v>343</v>
      </c>
      <c r="Q24" s="91" t="str">
        <f>IF(OR(R24="Preventivo",R24="Detectivo"),"Probabilidad",IF(R24="Correctivo","Impacto",""))</f>
        <v>Probabilidad</v>
      </c>
      <c r="R24" s="92" t="s">
        <v>14</v>
      </c>
      <c r="S24" s="92" t="s">
        <v>9</v>
      </c>
      <c r="T24" s="93" t="str">
        <f t="shared" si="8"/>
        <v>40%</v>
      </c>
      <c r="U24" s="92" t="s">
        <v>19</v>
      </c>
      <c r="V24" s="92" t="s">
        <v>22</v>
      </c>
      <c r="W24" s="92" t="s">
        <v>118</v>
      </c>
      <c r="X24" s="94">
        <f t="shared" si="16"/>
        <v>0.12</v>
      </c>
      <c r="Y24" s="87" t="str">
        <f t="shared" si="10"/>
        <v>Muy Baja</v>
      </c>
      <c r="Z24" s="93">
        <f t="shared" si="11"/>
        <v>0.12</v>
      </c>
      <c r="AA24" s="87" t="str">
        <f t="shared" ca="1" si="3"/>
        <v>Moderado</v>
      </c>
      <c r="AB24" s="93">
        <f t="shared" ca="1" si="4"/>
        <v>0.6</v>
      </c>
      <c r="AC24" s="88" t="str">
        <f t="shared" ca="1" si="5"/>
        <v>Moderado</v>
      </c>
      <c r="AD24" s="92" t="s">
        <v>135</v>
      </c>
      <c r="AE24" s="167" t="s">
        <v>347</v>
      </c>
      <c r="AF24" s="165" t="s">
        <v>348</v>
      </c>
      <c r="AG24" s="166">
        <v>45748</v>
      </c>
      <c r="AH24" s="166" t="s">
        <v>219</v>
      </c>
      <c r="AI24" s="167" t="s">
        <v>40</v>
      </c>
      <c r="AJ24" s="168" t="s">
        <v>349</v>
      </c>
      <c r="AK24" s="125"/>
      <c r="AL24" s="134"/>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row>
    <row r="25" spans="1:67" ht="195" customHeight="1" x14ac:dyDescent="0.3">
      <c r="A25" s="135">
        <v>12</v>
      </c>
      <c r="B25" s="129" t="s">
        <v>133</v>
      </c>
      <c r="C25" s="167" t="s">
        <v>358</v>
      </c>
      <c r="D25" s="167" t="s">
        <v>359</v>
      </c>
      <c r="E25" s="183" t="s">
        <v>357</v>
      </c>
      <c r="F25" s="185" t="s">
        <v>122</v>
      </c>
      <c r="G25" s="137">
        <v>350</v>
      </c>
      <c r="H25" s="124" t="str">
        <f t="shared" si="14"/>
        <v>Media</v>
      </c>
      <c r="I25" s="118">
        <f t="shared" si="15"/>
        <v>0.6</v>
      </c>
      <c r="J25" s="205" t="s">
        <v>153</v>
      </c>
      <c r="K25" s="265" t="str">
        <f ca="1">IF(NOT(ISERROR(MATCH(J25,_xlfn.ANCHORARRAY(E36),0))),I38&amp;"Por favor no seleccionar los criterios de impacto",J25)</f>
        <v xml:space="preserve">     El riesgo afecta la imagen de la entidad con algunos usuarios de relevancia frente al logro de los objetivos</v>
      </c>
      <c r="L25" s="124" t="str">
        <f ca="1">IF(OR(K25='Tabla Impacto'!$C$11,K25='Tabla Impacto'!$D$11),"Leve",IF(OR(K25='Tabla Impacto'!$C$12,K25='Tabla Impacto'!$D$12),"Menor",IF(OR(K25='Tabla Impacto'!$C$13,K25='Tabla Impacto'!$D$13),"Moderado",IF(OR(K25='Tabla Impacto'!$C$14,K25='Tabla Impacto'!$D$14),"Mayor",IF(OR(K25='Tabla Impacto'!$C$15,K25='Tabla Impacto'!$D$15),"Catastrófico","")))))</f>
        <v>Moderado</v>
      </c>
      <c r="M25" s="108">
        <f t="shared" ca="1" si="0"/>
        <v>0.6</v>
      </c>
      <c r="N25" s="131" t="str">
        <f t="shared" ca="1" si="1"/>
        <v>Moderado</v>
      </c>
      <c r="O25" s="204">
        <v>12</v>
      </c>
      <c r="P25" s="186" t="s">
        <v>355</v>
      </c>
      <c r="Q25" s="91" t="str">
        <f>IF(OR(R25="Preventivo",R25="Detectivo"),"Probabilidad",IF(R25="Correctivo","Impacto",""))</f>
        <v>Probabilidad</v>
      </c>
      <c r="R25" s="92" t="s">
        <v>14</v>
      </c>
      <c r="S25" s="92" t="s">
        <v>10</v>
      </c>
      <c r="T25" s="93" t="str">
        <f t="shared" si="8"/>
        <v>50%</v>
      </c>
      <c r="U25" s="92" t="s">
        <v>19</v>
      </c>
      <c r="V25" s="92" t="s">
        <v>22</v>
      </c>
      <c r="W25" s="92" t="s">
        <v>118</v>
      </c>
      <c r="X25" s="94">
        <f t="shared" si="16"/>
        <v>0.3</v>
      </c>
      <c r="Y25" s="87" t="str">
        <f t="shared" ref="Y25:Y28" si="19">IFERROR(IF(X25="","",IF(X25&lt;=0.2,"Muy Baja",IF(X25&lt;=0.4,"Baja",IF(X25&lt;=0.6,"Media",IF(X25&lt;=0.8,"Alta","Muy Alta"))))),"")</f>
        <v>Baja</v>
      </c>
      <c r="Z25" s="93">
        <f t="shared" ref="Z25:Z28" si="20">+X25</f>
        <v>0.3</v>
      </c>
      <c r="AA25" s="87" t="str">
        <f t="shared" ca="1" si="3"/>
        <v>Moderado</v>
      </c>
      <c r="AB25" s="93">
        <f t="shared" ca="1" si="4"/>
        <v>0.6</v>
      </c>
      <c r="AC25" s="88" t="str">
        <f t="shared" ca="1" si="5"/>
        <v>Moderado</v>
      </c>
      <c r="AD25" s="92" t="s">
        <v>135</v>
      </c>
      <c r="AE25" s="167" t="s">
        <v>353</v>
      </c>
      <c r="AF25" s="165" t="s">
        <v>354</v>
      </c>
      <c r="AG25" s="202">
        <v>2025</v>
      </c>
      <c r="AH25" s="166" t="s">
        <v>219</v>
      </c>
      <c r="AI25" s="167" t="s">
        <v>40</v>
      </c>
      <c r="AJ25" s="168" t="s">
        <v>356</v>
      </c>
      <c r="AK25" s="125"/>
      <c r="AL25" s="134"/>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row>
    <row r="26" spans="1:67" ht="195" hidden="1" customHeight="1" x14ac:dyDescent="0.3">
      <c r="A26" s="135">
        <v>15</v>
      </c>
      <c r="B26" s="129"/>
      <c r="C26" s="129"/>
      <c r="D26" s="129"/>
      <c r="E26" s="200"/>
      <c r="F26" s="137"/>
      <c r="G26" s="122"/>
      <c r="H26" s="124" t="str">
        <f t="shared" si="14"/>
        <v/>
      </c>
      <c r="I26" s="118" t="str">
        <f t="shared" si="15"/>
        <v/>
      </c>
      <c r="J26" s="119"/>
      <c r="K26" s="265">
        <f ca="1">IF(NOT(ISERROR(MATCH(J26,_xlfn.ANCHORARRAY(E37),0))),I39&amp;"Por favor no seleccionar los criterios de impacto",J26)</f>
        <v>0</v>
      </c>
      <c r="L26" s="107" t="str">
        <f ca="1">IF(OR(K26='Tabla Impacto'!$C$11,K26='Tabla Impacto'!$D$11),"Leve",IF(OR(K26='Tabla Impacto'!$C$12,K26='Tabla Impacto'!$D$12),"Menor",IF(OR(K26='Tabla Impacto'!$C$13,K26='Tabla Impacto'!$D$13),"Moderado",IF(OR(K26='Tabla Impacto'!$C$14,K26='Tabla Impacto'!$D$14),"Mayor",IF(OR(K26='Tabla Impacto'!$C$15,K26='Tabla Impacto'!$D$15),"Catastrófico","")))))</f>
        <v/>
      </c>
      <c r="M26" s="108" t="str">
        <f t="shared" ca="1" si="0"/>
        <v/>
      </c>
      <c r="N26" s="131" t="str">
        <f t="shared" ca="1" si="1"/>
        <v/>
      </c>
      <c r="O26" s="89">
        <v>4</v>
      </c>
      <c r="P26" s="90"/>
      <c r="Q26" s="91" t="str">
        <f t="shared" ref="Q26:Q28" si="21">IF(OR(R26="Preventivo",R26="Detectivo"),"Probabilidad",IF(R26="Correctivo","Impacto",""))</f>
        <v/>
      </c>
      <c r="R26" s="92"/>
      <c r="S26" s="92"/>
      <c r="T26" s="93" t="str">
        <f t="shared" si="8"/>
        <v/>
      </c>
      <c r="U26" s="92"/>
      <c r="V26" s="92"/>
      <c r="W26" s="92"/>
      <c r="X26" s="94" t="str">
        <f t="shared" si="16"/>
        <v/>
      </c>
      <c r="Y26" s="87" t="str">
        <f t="shared" si="19"/>
        <v/>
      </c>
      <c r="Z26" s="93" t="str">
        <f t="shared" si="20"/>
        <v/>
      </c>
      <c r="AA26" s="87" t="str">
        <f t="shared" ref="AA26" si="22">IFERROR(IF(AB26="","",IF(AB26&lt;=0.2,"Leve",IF(AB26&lt;=0.4,"Menor",IF(AB26&lt;=0.6,"Moderado",IF(AB26&lt;=0.8,"Mayor","Catastrófico"))))),"")</f>
        <v/>
      </c>
      <c r="AB26" s="93" t="str">
        <f t="shared" ref="AB26" si="23">IFERROR(IF(Q26="Impacto",(M26-(+M26*T26)),IF(Q26="Probabilidad",M26,"")),"")</f>
        <v/>
      </c>
      <c r="AC26" s="88" t="str">
        <f t="shared" ref="AC26" si="24">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92" t="s">
        <v>135</v>
      </c>
      <c r="AE26" s="95"/>
      <c r="AF26" s="96"/>
      <c r="AG26" s="97"/>
      <c r="AH26" s="97"/>
      <c r="AI26" s="96"/>
      <c r="AJ26" s="98"/>
      <c r="AK26" s="125"/>
      <c r="AL26" s="134"/>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row>
    <row r="27" spans="1:67" ht="195" hidden="1" customHeight="1" x14ac:dyDescent="0.3">
      <c r="A27" s="127">
        <v>16</v>
      </c>
      <c r="B27" s="136"/>
      <c r="C27" s="136"/>
      <c r="D27" s="136"/>
      <c r="E27" s="199"/>
      <c r="F27" s="137"/>
      <c r="G27" s="197">
        <v>343</v>
      </c>
      <c r="H27" s="124" t="str">
        <f t="shared" si="14"/>
        <v>Media</v>
      </c>
      <c r="I27" s="118">
        <f t="shared" si="15"/>
        <v>0.6</v>
      </c>
      <c r="J27" s="164" t="s">
        <v>149</v>
      </c>
      <c r="K27" s="265" t="str">
        <f ca="1">IF(NOT(ISERROR(MATCH(J27,_xlfn.ANCHORARRAY(E38),0))),I40&amp;"Por favor no seleccionar los criterios de impacto",J27)</f>
        <v xml:space="preserve">     Entre 100 y 500 SMLMV </v>
      </c>
      <c r="L27" s="107" t="str">
        <f ca="1">IF(OR(K27='Tabla Impacto'!$C$11,K27='Tabla Impacto'!$D$11),"Leve",IF(OR(K27='Tabla Impacto'!$C$12,K27='Tabla Impacto'!$D$12),"Menor",IF(OR(K27='Tabla Impacto'!$C$13,K27='Tabla Impacto'!$D$13),"Moderado",IF(OR(K27='Tabla Impacto'!$C$14,K27='Tabla Impacto'!$D$14),"Mayor",IF(OR(K27='Tabla Impacto'!$C$15,K27='Tabla Impacto'!$D$15),"Catastrófico","")))))</f>
        <v>Mayor</v>
      </c>
      <c r="M27" s="108">
        <f t="shared" ca="1" si="0"/>
        <v>0.8</v>
      </c>
      <c r="N27" s="131" t="str">
        <f t="shared" ca="1" si="1"/>
        <v>Alto</v>
      </c>
      <c r="O27" s="89">
        <v>5</v>
      </c>
      <c r="P27" s="90"/>
      <c r="Q27" s="91" t="str">
        <f t="shared" si="21"/>
        <v>Probabilidad</v>
      </c>
      <c r="R27" s="92" t="s">
        <v>15</v>
      </c>
      <c r="S27" s="92" t="s">
        <v>10</v>
      </c>
      <c r="T27" s="93" t="str">
        <f t="shared" si="8"/>
        <v>40%</v>
      </c>
      <c r="U27" s="92"/>
      <c r="V27" s="92"/>
      <c r="W27" s="92"/>
      <c r="X27" s="94">
        <f t="shared" si="16"/>
        <v>0.36</v>
      </c>
      <c r="Y27" s="87" t="str">
        <f t="shared" si="19"/>
        <v>Baja</v>
      </c>
      <c r="Z27" s="93">
        <f t="shared" si="20"/>
        <v>0.36</v>
      </c>
      <c r="AA27" s="87" t="str">
        <f ca="1">IFERROR(IF(AB27="","",IF(AB27&lt;=0.2,"Leve",IF(AB27&lt;=0.4,"Menor",IF(AB27&lt;=0.6,"Moderado",IF(AB27&lt;=0.8,"Mayor","Catastrófico"))))),"")</f>
        <v>Mayor</v>
      </c>
      <c r="AB27" s="93">
        <f ca="1">IFERROR(IF(Q27="Impacto",(M27-(+M27*T27)),IF(Q27="Probabilidad",M27,"")),"")</f>
        <v>0.8</v>
      </c>
      <c r="AC27" s="88" t="str">
        <f ca="1">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Alto</v>
      </c>
      <c r="AD27" s="92" t="s">
        <v>135</v>
      </c>
      <c r="AE27" s="95"/>
      <c r="AF27" s="96"/>
      <c r="AG27" s="97"/>
      <c r="AH27" s="97"/>
      <c r="AI27" s="96"/>
      <c r="AJ27" s="98"/>
      <c r="AK27" s="125"/>
      <c r="AL27" s="134"/>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row>
    <row r="28" spans="1:67" ht="195" hidden="1" customHeight="1" x14ac:dyDescent="0.3">
      <c r="A28" s="135">
        <v>17</v>
      </c>
      <c r="B28" s="129"/>
      <c r="C28" s="129"/>
      <c r="D28" s="129"/>
      <c r="E28" s="199"/>
      <c r="F28" s="137"/>
      <c r="G28" s="197">
        <v>3434</v>
      </c>
      <c r="H28" s="124" t="str">
        <f t="shared" si="14"/>
        <v>Alta</v>
      </c>
      <c r="I28" s="118">
        <f t="shared" si="15"/>
        <v>0.8</v>
      </c>
      <c r="J28" s="164" t="s">
        <v>144</v>
      </c>
      <c r="K28" s="265" t="str">
        <f ca="1">IF(NOT(ISERROR(MATCH(J28,_xlfn.ANCHORARRAY(E39),0))),I41&amp;"Por favor no seleccionar los criterios de impacto",J28)</f>
        <v xml:space="preserve">     Afectación menor a 10 SMLMV .</v>
      </c>
      <c r="L28" s="107" t="str">
        <f ca="1">IF(OR(K28='Tabla Impacto'!$C$11,K28='Tabla Impacto'!$D$11),"Leve",IF(OR(K28='Tabla Impacto'!$C$12,K28='Tabla Impacto'!$D$12),"Menor",IF(OR(K28='Tabla Impacto'!$C$13,K28='Tabla Impacto'!$D$13),"Moderado",IF(OR(K28='Tabla Impacto'!$C$14,K28='Tabla Impacto'!$D$14),"Mayor",IF(OR(K28='Tabla Impacto'!$C$15,K28='Tabla Impacto'!$D$15),"Catastrófico","")))))</f>
        <v>Leve</v>
      </c>
      <c r="M28" s="108">
        <f t="shared" ca="1" si="0"/>
        <v>0.2</v>
      </c>
      <c r="N28" s="131" t="str">
        <f t="shared" ca="1" si="1"/>
        <v>Moderado</v>
      </c>
      <c r="O28" s="89">
        <v>6</v>
      </c>
      <c r="P28" s="90"/>
      <c r="Q28" s="91" t="str">
        <f t="shared" si="21"/>
        <v>Probabilidad</v>
      </c>
      <c r="R28" s="92" t="s">
        <v>14</v>
      </c>
      <c r="S28" s="92" t="s">
        <v>10</v>
      </c>
      <c r="T28" s="93" t="str">
        <f t="shared" si="8"/>
        <v>50%</v>
      </c>
      <c r="U28" s="92"/>
      <c r="V28" s="92"/>
      <c r="W28" s="92"/>
      <c r="X28" s="94">
        <f t="shared" si="16"/>
        <v>0.4</v>
      </c>
      <c r="Y28" s="87" t="str">
        <f t="shared" si="19"/>
        <v>Baja</v>
      </c>
      <c r="Z28" s="93">
        <f t="shared" si="20"/>
        <v>0.4</v>
      </c>
      <c r="AA28" s="87" t="str">
        <f ca="1">IFERROR(IF(AB28="","",IF(AB28&lt;=0.2,"Leve",IF(AB28&lt;=0.4,"Menor",IF(AB28&lt;=0.6,"Moderado",IF(AB28&lt;=0.8,"Mayor","Catastrófico"))))),"")</f>
        <v>Leve</v>
      </c>
      <c r="AB28" s="93">
        <f ca="1">IFERROR(IF(Q28="Impacto",(M28-(+M28*T28)),IF(Q28="Probabilidad",M28,"")),"")</f>
        <v>0.2</v>
      </c>
      <c r="AC28" s="88" t="str">
        <f ca="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Bajo</v>
      </c>
      <c r="AD28" s="92" t="s">
        <v>135</v>
      </c>
      <c r="AE28" s="95"/>
      <c r="AF28" s="96"/>
      <c r="AG28" s="97"/>
      <c r="AH28" s="97"/>
      <c r="AI28" s="96"/>
      <c r="AJ28" s="98"/>
      <c r="AK28" s="125"/>
      <c r="AL28" s="134"/>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row>
    <row r="29" spans="1:67" ht="195" hidden="1" customHeight="1" x14ac:dyDescent="0.3">
      <c r="A29" s="188">
        <v>8</v>
      </c>
      <c r="B29" s="189"/>
      <c r="C29" s="189"/>
      <c r="D29" s="189"/>
      <c r="E29" s="190"/>
      <c r="F29" s="189"/>
      <c r="G29" s="198">
        <v>343434</v>
      </c>
      <c r="H29" s="192" t="str">
        <f>IF(G29&lt;=0,"",IF(G29&lt;=2,"Muy Baja",IF(G29&lt;=24,"Baja",IF(G29&lt;=500,"Media",IF(G29&lt;=5000,"Alta","Muy Alta")))))</f>
        <v>Muy Alta</v>
      </c>
      <c r="I29" s="193">
        <f>IF(H29="","",IF(H29="Muy Baja",0.2,IF(H29="Baja",0.4,IF(H29="Media",0.6,IF(H29="Alta",0.8,IF(H29="Muy Alta",1,))))))</f>
        <v>1</v>
      </c>
      <c r="J29" s="196" t="s">
        <v>151</v>
      </c>
      <c r="K29" s="193" t="str">
        <f ca="1">IF(NOT(ISERROR(MATCH(J29,'Tabla Impacto'!$B$221:$B$223,0))),'Tabla Impacto'!$F$223&amp;"Por favor no seleccionar los criterios de impacto(Afectación Económica o presupuestal y Pérdida Reputacional)",J29)</f>
        <v xml:space="preserve">     El riesgo afecta la imagen de alguna área de la organización</v>
      </c>
      <c r="L29" s="192" t="str">
        <f ca="1">IF(OR(K29='Tabla Impacto'!$C$11,K29='Tabla Impacto'!$D$11),"Leve",IF(OR(K29='Tabla Impacto'!$C$12,K29='Tabla Impacto'!$D$12),"Menor",IF(OR(K29='Tabla Impacto'!$C$13,K29='Tabla Impacto'!$D$13),"Moderado",IF(OR(K29='Tabla Impacto'!$C$14,K29='Tabla Impacto'!$D$14),"Mayor",IF(OR(K29='Tabla Impacto'!$C$15,K29='Tabla Impacto'!$D$15),"Catastrófico","")))))</f>
        <v>Leve</v>
      </c>
      <c r="M29" s="193">
        <f t="shared" ca="1" si="0"/>
        <v>0.2</v>
      </c>
      <c r="N29" s="195" t="str">
        <f t="shared" ca="1" si="1"/>
        <v>Alto</v>
      </c>
      <c r="O29" s="89">
        <v>1</v>
      </c>
      <c r="P29" s="90"/>
      <c r="Q29" s="91" t="str">
        <f>IF(OR(R29="Preventivo",R29="Detectivo"),"Probabilidad",IF(R29="Correctivo","Impacto",""))</f>
        <v>Probabilidad</v>
      </c>
      <c r="R29" s="92" t="s">
        <v>14</v>
      </c>
      <c r="S29" s="92" t="s">
        <v>9</v>
      </c>
      <c r="T29" s="93" t="str">
        <f t="shared" si="8"/>
        <v>40%</v>
      </c>
      <c r="U29" s="92"/>
      <c r="V29" s="92"/>
      <c r="W29" s="92"/>
      <c r="X29" s="94">
        <f t="shared" si="16"/>
        <v>0.6</v>
      </c>
      <c r="Y29" s="87" t="str">
        <f t="shared" si="10"/>
        <v>Media</v>
      </c>
      <c r="Z29" s="93">
        <f t="shared" si="11"/>
        <v>0.6</v>
      </c>
      <c r="AA29" s="87" t="str">
        <f ca="1">IFERROR(IF(AB29="","",IF(AB29&lt;=0.2,"Leve",IF(AB29&lt;=0.4,"Menor",IF(AB29&lt;=0.6,"Moderado",IF(AB29&lt;=0.8,"Mayor","Catastrófico"))))),"")</f>
        <v>Leve</v>
      </c>
      <c r="AB29" s="93">
        <f ca="1">IFERROR(IF(Q29="Impacto",(M29-(+M29*T29)),IF(Q29="Probabilidad",M29,"")),"")</f>
        <v>0.2</v>
      </c>
      <c r="AC29" s="88" t="str">
        <f ca="1">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Moderado</v>
      </c>
      <c r="AD29" s="92"/>
      <c r="AE29" s="95"/>
      <c r="AF29" s="96"/>
      <c r="AG29" s="97"/>
      <c r="AH29" s="97"/>
      <c r="AI29" s="96"/>
      <c r="AJ29" s="98"/>
      <c r="AK29" s="125"/>
      <c r="AL29" s="134"/>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row>
    <row r="30" spans="1:67" ht="195" hidden="1" customHeight="1" x14ac:dyDescent="0.3">
      <c r="A30" s="188"/>
      <c r="B30" s="189"/>
      <c r="C30" s="189"/>
      <c r="D30" s="189"/>
      <c r="E30" s="190"/>
      <c r="F30" s="189"/>
      <c r="G30" s="191"/>
      <c r="H30" s="192" t="str">
        <f t="shared" ref="H30:H34" si="25">IF(G30&lt;=0,"",IF(G30&lt;=2,"Muy Baja",IF(G30&lt;=24,"Baja",IF(G30&lt;=500,"Media",IF(G30&lt;=5000,"Alta","Muy Alta")))))</f>
        <v/>
      </c>
      <c r="I30" s="193" t="str">
        <f t="shared" ref="I30:I34" si="26">IF(H30="","",IF(H30="Muy Baja",0.2,IF(H30="Baja",0.4,IF(H30="Media",0.6,IF(H30="Alta",0.8,IF(H30="Muy Alta",1,))))))</f>
        <v/>
      </c>
      <c r="J30" s="194"/>
      <c r="K30" s="193">
        <f ca="1">IF(NOT(ISERROR(MATCH(J30,'Tabla Impacto'!$B$221:$B$223,0))),'Tabla Impacto'!$F$223&amp;"Por favor no seleccionar los criterios de impacto(Afectación Económica o presupuestal y Pérdida Reputacional)",J30)</f>
        <v>0</v>
      </c>
      <c r="L30" s="192" t="str">
        <f ca="1">IF(OR(K30='Tabla Impacto'!$C$11,K30='Tabla Impacto'!$D$11),"Leve",IF(OR(K30='Tabla Impacto'!$C$12,K30='Tabla Impacto'!$D$12),"Menor",IF(OR(K30='Tabla Impacto'!$C$13,K30='Tabla Impacto'!$D$13),"Moderado",IF(OR(K30='Tabla Impacto'!$C$14,K30='Tabla Impacto'!$D$14),"Mayor",IF(OR(K30='Tabla Impacto'!$C$15,K30='Tabla Impacto'!$D$15),"Catastrófico","")))))</f>
        <v/>
      </c>
      <c r="M30" s="193" t="str">
        <f t="shared" ca="1" si="0"/>
        <v/>
      </c>
      <c r="N30" s="195" t="str">
        <f t="shared" ca="1" si="1"/>
        <v/>
      </c>
      <c r="O30" s="89">
        <v>2</v>
      </c>
      <c r="P30" s="90"/>
      <c r="Q30" s="91" t="str">
        <f>IF(OR(R30="Preventivo",R30="Detectivo"),"Probabilidad",IF(R30="Correctivo","Impacto",""))</f>
        <v/>
      </c>
      <c r="R30" s="92"/>
      <c r="S30" s="92"/>
      <c r="T30" s="93" t="str">
        <f t="shared" si="8"/>
        <v/>
      </c>
      <c r="U30" s="92"/>
      <c r="V30" s="92"/>
      <c r="W30" s="92"/>
      <c r="X30" s="94" t="str">
        <f>IFERROR(IF(AND(Q29="Probabilidad",Q30="Probabilidad"),(Z29-(+Z29*T30)),IF(Q30="Probabilidad",(I29-(+I29*T30)),IF(Q30="Impacto",Z29,""))),"")</f>
        <v/>
      </c>
      <c r="Y30" s="87" t="str">
        <f t="shared" si="10"/>
        <v/>
      </c>
      <c r="Z30" s="93" t="str">
        <f t="shared" si="11"/>
        <v/>
      </c>
      <c r="AA30" s="87" t="str">
        <f t="shared" ref="AA30:AA52" si="27">IFERROR(IF(AB30="","",IF(AB30&lt;=0.2,"Leve",IF(AB30&lt;=0.4,"Menor",IF(AB30&lt;=0.6,"Moderado",IF(AB30&lt;=0.8,"Mayor","Catastrófico"))))),"")</f>
        <v/>
      </c>
      <c r="AB30" s="93" t="str">
        <f t="shared" ref="AB30:AB52" si="28">IFERROR(IF(Q30="Impacto",(M30-(+M30*T30)),IF(Q30="Probabilidad",M30,"")),"")</f>
        <v/>
      </c>
      <c r="AC30" s="88" t="str">
        <f t="shared" ref="AC30:AC52" si="29">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92"/>
      <c r="AE30" s="95"/>
      <c r="AF30" s="96"/>
      <c r="AG30" s="97"/>
      <c r="AH30" s="97"/>
      <c r="AI30" s="96"/>
      <c r="AJ30" s="98"/>
      <c r="AK30" s="125"/>
      <c r="AL30" s="134"/>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row>
    <row r="31" spans="1:67" ht="195" hidden="1" customHeight="1" x14ac:dyDescent="0.3">
      <c r="A31" s="188"/>
      <c r="B31" s="189"/>
      <c r="C31" s="189"/>
      <c r="D31" s="189"/>
      <c r="E31" s="190"/>
      <c r="F31" s="189"/>
      <c r="G31" s="191"/>
      <c r="H31" s="192" t="str">
        <f t="shared" si="25"/>
        <v/>
      </c>
      <c r="I31" s="193" t="str">
        <f t="shared" si="26"/>
        <v/>
      </c>
      <c r="J31" s="194"/>
      <c r="K31" s="193">
        <f ca="1">IF(NOT(ISERROR(MATCH(J31,'Tabla Impacto'!$B$221:$B$223,0))),'Tabla Impacto'!$F$223&amp;"Por favor no seleccionar los criterios de impacto(Afectación Económica o presupuestal y Pérdida Reputacional)",J31)</f>
        <v>0</v>
      </c>
      <c r="L31" s="192" t="str">
        <f ca="1">IF(OR(K31='Tabla Impacto'!$C$11,K31='Tabla Impacto'!$D$11),"Leve",IF(OR(K31='Tabla Impacto'!$C$12,K31='Tabla Impacto'!$D$12),"Menor",IF(OR(K31='Tabla Impacto'!$C$13,K31='Tabla Impacto'!$D$13),"Moderado",IF(OR(K31='Tabla Impacto'!$C$14,K31='Tabla Impacto'!$D$14),"Mayor",IF(OR(K31='Tabla Impacto'!$C$15,K31='Tabla Impacto'!$D$15),"Catastrófico","")))))</f>
        <v/>
      </c>
      <c r="M31" s="193" t="str">
        <f t="shared" ca="1" si="0"/>
        <v/>
      </c>
      <c r="N31" s="195" t="str">
        <f t="shared" ca="1" si="1"/>
        <v/>
      </c>
      <c r="O31" s="89">
        <v>3</v>
      </c>
      <c r="P31" s="99"/>
      <c r="Q31" s="91" t="str">
        <f>IF(OR(R31="Preventivo",R31="Detectivo"),"Probabilidad",IF(R31="Correctivo","Impacto",""))</f>
        <v/>
      </c>
      <c r="R31" s="92"/>
      <c r="S31" s="92"/>
      <c r="T31" s="93" t="str">
        <f t="shared" si="8"/>
        <v/>
      </c>
      <c r="U31" s="92"/>
      <c r="V31" s="92"/>
      <c r="W31" s="92"/>
      <c r="X31" s="94" t="str">
        <f>IFERROR(IF(AND(Q30="Probabilidad",Q31="Probabilidad"),(Z30-(+Z30*T31)),IF(AND(Q30="Impacto",Q31="Probabilidad"),(Z29-(+Z29*T31)),IF(Q31="Impacto",Z30,""))),"")</f>
        <v/>
      </c>
      <c r="Y31" s="87" t="str">
        <f t="shared" si="10"/>
        <v/>
      </c>
      <c r="Z31" s="93" t="str">
        <f t="shared" si="11"/>
        <v/>
      </c>
      <c r="AA31" s="87" t="str">
        <f t="shared" si="27"/>
        <v/>
      </c>
      <c r="AB31" s="93" t="str">
        <f t="shared" si="28"/>
        <v/>
      </c>
      <c r="AC31" s="88" t="str">
        <f t="shared" si="29"/>
        <v/>
      </c>
      <c r="AD31" s="92"/>
      <c r="AE31" s="95"/>
      <c r="AF31" s="96"/>
      <c r="AG31" s="97"/>
      <c r="AH31" s="97"/>
      <c r="AI31" s="96"/>
      <c r="AJ31" s="98"/>
      <c r="AK31" s="125"/>
      <c r="AL31" s="134"/>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row>
    <row r="32" spans="1:67" ht="195" hidden="1" customHeight="1" x14ac:dyDescent="0.3">
      <c r="A32" s="188"/>
      <c r="B32" s="189"/>
      <c r="C32" s="189"/>
      <c r="D32" s="189"/>
      <c r="E32" s="190"/>
      <c r="F32" s="189"/>
      <c r="G32" s="191"/>
      <c r="H32" s="192" t="str">
        <f t="shared" si="25"/>
        <v/>
      </c>
      <c r="I32" s="193" t="str">
        <f t="shared" si="26"/>
        <v/>
      </c>
      <c r="J32" s="194"/>
      <c r="K32" s="193">
        <f ca="1">IF(NOT(ISERROR(MATCH(J32,'Tabla Impacto'!$B$221:$B$223,0))),'Tabla Impacto'!$F$223&amp;"Por favor no seleccionar los criterios de impacto(Afectación Económica o presupuestal y Pérdida Reputacional)",J32)</f>
        <v>0</v>
      </c>
      <c r="L32" s="192" t="str">
        <f ca="1">IF(OR(K32='Tabla Impacto'!$C$11,K32='Tabla Impacto'!$D$11),"Leve",IF(OR(K32='Tabla Impacto'!$C$12,K32='Tabla Impacto'!$D$12),"Menor",IF(OR(K32='Tabla Impacto'!$C$13,K32='Tabla Impacto'!$D$13),"Moderado",IF(OR(K32='Tabla Impacto'!$C$14,K32='Tabla Impacto'!$D$14),"Mayor",IF(OR(K32='Tabla Impacto'!$C$15,K32='Tabla Impacto'!$D$15),"Catastrófico","")))))</f>
        <v/>
      </c>
      <c r="M32" s="193" t="str">
        <f t="shared" ca="1" si="0"/>
        <v/>
      </c>
      <c r="N32" s="195" t="str">
        <f t="shared" ca="1" si="1"/>
        <v/>
      </c>
      <c r="O32" s="89">
        <v>4</v>
      </c>
      <c r="P32" s="90"/>
      <c r="Q32" s="91" t="str">
        <f t="shared" ref="Q32:Q34" si="30">IF(OR(R32="Preventivo",R32="Detectivo"),"Probabilidad",IF(R32="Correctivo","Impacto",""))</f>
        <v/>
      </c>
      <c r="R32" s="92"/>
      <c r="S32" s="92"/>
      <c r="T32" s="93" t="str">
        <f t="shared" si="8"/>
        <v/>
      </c>
      <c r="U32" s="92"/>
      <c r="V32" s="92"/>
      <c r="W32" s="92"/>
      <c r="X32" s="94" t="str">
        <f t="shared" ref="X32:X34" si="31">IFERROR(IF(AND(Q31="Probabilidad",Q32="Probabilidad"),(Z31-(+Z31*T32)),IF(AND(Q31="Impacto",Q32="Probabilidad"),(Z30-(+Z30*T32)),IF(Q32="Impacto",Z31,""))),"")</f>
        <v/>
      </c>
      <c r="Y32" s="87" t="str">
        <f t="shared" si="10"/>
        <v/>
      </c>
      <c r="Z32" s="93" t="str">
        <f t="shared" si="11"/>
        <v/>
      </c>
      <c r="AA32" s="87" t="str">
        <f t="shared" si="27"/>
        <v/>
      </c>
      <c r="AB32" s="93" t="str">
        <f t="shared" si="28"/>
        <v/>
      </c>
      <c r="AC32" s="88" t="str">
        <f t="shared" si="29"/>
        <v/>
      </c>
      <c r="AD32" s="92"/>
      <c r="AE32" s="95"/>
      <c r="AF32" s="96"/>
      <c r="AG32" s="97"/>
      <c r="AH32" s="97"/>
      <c r="AI32" s="96"/>
      <c r="AJ32" s="98"/>
      <c r="AK32" s="125"/>
      <c r="AL32" s="134"/>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row>
    <row r="33" spans="1:67" ht="195" hidden="1" customHeight="1" x14ac:dyDescent="0.3">
      <c r="A33" s="188"/>
      <c r="B33" s="189"/>
      <c r="C33" s="189"/>
      <c r="D33" s="189"/>
      <c r="E33" s="190"/>
      <c r="F33" s="189"/>
      <c r="G33" s="191"/>
      <c r="H33" s="192" t="str">
        <f t="shared" si="25"/>
        <v/>
      </c>
      <c r="I33" s="193" t="str">
        <f t="shared" si="26"/>
        <v/>
      </c>
      <c r="J33" s="194"/>
      <c r="K33" s="193">
        <f ca="1">IF(NOT(ISERROR(MATCH(J33,'Tabla Impacto'!$B$221:$B$223,0))),'Tabla Impacto'!$F$223&amp;"Por favor no seleccionar los criterios de impacto(Afectación Económica o presupuestal y Pérdida Reputacional)",J33)</f>
        <v>0</v>
      </c>
      <c r="L33" s="192" t="str">
        <f ca="1">IF(OR(K33='Tabla Impacto'!$C$11,K33='Tabla Impacto'!$D$11),"Leve",IF(OR(K33='Tabla Impacto'!$C$12,K33='Tabla Impacto'!$D$12),"Menor",IF(OR(K33='Tabla Impacto'!$C$13,K33='Tabla Impacto'!$D$13),"Moderado",IF(OR(K33='Tabla Impacto'!$C$14,K33='Tabla Impacto'!$D$14),"Mayor",IF(OR(K33='Tabla Impacto'!$C$15,K33='Tabla Impacto'!$D$15),"Catastrófico","")))))</f>
        <v/>
      </c>
      <c r="M33" s="193" t="str">
        <f t="shared" ca="1" si="0"/>
        <v/>
      </c>
      <c r="N33" s="195" t="str">
        <f t="shared" ca="1" si="1"/>
        <v/>
      </c>
      <c r="O33" s="89">
        <v>5</v>
      </c>
      <c r="P33" s="90"/>
      <c r="Q33" s="91" t="str">
        <f t="shared" si="30"/>
        <v/>
      </c>
      <c r="R33" s="92"/>
      <c r="S33" s="92"/>
      <c r="T33" s="93" t="str">
        <f t="shared" si="8"/>
        <v/>
      </c>
      <c r="U33" s="92"/>
      <c r="V33" s="92"/>
      <c r="W33" s="92"/>
      <c r="X33" s="94" t="str">
        <f t="shared" si="31"/>
        <v/>
      </c>
      <c r="Y33" s="87" t="str">
        <f t="shared" si="10"/>
        <v/>
      </c>
      <c r="Z33" s="93" t="str">
        <f t="shared" si="11"/>
        <v/>
      </c>
      <c r="AA33" s="87" t="str">
        <f t="shared" si="27"/>
        <v/>
      </c>
      <c r="AB33" s="93" t="str">
        <f t="shared" si="28"/>
        <v/>
      </c>
      <c r="AC33" s="88" t="str">
        <f t="shared" si="29"/>
        <v/>
      </c>
      <c r="AD33" s="92"/>
      <c r="AE33" s="95"/>
      <c r="AF33" s="96"/>
      <c r="AG33" s="97"/>
      <c r="AH33" s="97"/>
      <c r="AI33" s="96"/>
      <c r="AJ33" s="98"/>
      <c r="AK33" s="125"/>
      <c r="AL33" s="134"/>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row>
    <row r="34" spans="1:67" ht="195" hidden="1" customHeight="1" x14ac:dyDescent="0.3">
      <c r="A34" s="188"/>
      <c r="B34" s="189"/>
      <c r="C34" s="189"/>
      <c r="D34" s="189"/>
      <c r="E34" s="190"/>
      <c r="F34" s="189"/>
      <c r="G34" s="191"/>
      <c r="H34" s="192" t="str">
        <f t="shared" si="25"/>
        <v/>
      </c>
      <c r="I34" s="193" t="str">
        <f t="shared" si="26"/>
        <v/>
      </c>
      <c r="J34" s="194"/>
      <c r="K34" s="193">
        <f ca="1">IF(NOT(ISERROR(MATCH(J34,'Tabla Impacto'!$B$221:$B$223,0))),'Tabla Impacto'!$F$223&amp;"Por favor no seleccionar los criterios de impacto(Afectación Económica o presupuestal y Pérdida Reputacional)",J34)</f>
        <v>0</v>
      </c>
      <c r="L34" s="192" t="str">
        <f ca="1">IF(OR(K34='Tabla Impacto'!$C$11,K34='Tabla Impacto'!$D$11),"Leve",IF(OR(K34='Tabla Impacto'!$C$12,K34='Tabla Impacto'!$D$12),"Menor",IF(OR(K34='Tabla Impacto'!$C$13,K34='Tabla Impacto'!$D$13),"Moderado",IF(OR(K34='Tabla Impacto'!$C$14,K34='Tabla Impacto'!$D$14),"Mayor",IF(OR(K34='Tabla Impacto'!$C$15,K34='Tabla Impacto'!$D$15),"Catastrófico","")))))</f>
        <v/>
      </c>
      <c r="M34" s="193" t="str">
        <f t="shared" ca="1" si="0"/>
        <v/>
      </c>
      <c r="N34" s="195" t="str">
        <f t="shared" ca="1" si="1"/>
        <v/>
      </c>
      <c r="O34" s="89">
        <v>6</v>
      </c>
      <c r="P34" s="90"/>
      <c r="Q34" s="91" t="str">
        <f t="shared" si="30"/>
        <v/>
      </c>
      <c r="R34" s="92"/>
      <c r="S34" s="92"/>
      <c r="T34" s="93" t="str">
        <f t="shared" si="8"/>
        <v/>
      </c>
      <c r="U34" s="92"/>
      <c r="V34" s="92"/>
      <c r="W34" s="92"/>
      <c r="X34" s="94" t="str">
        <f t="shared" si="31"/>
        <v/>
      </c>
      <c r="Y34" s="87" t="str">
        <f t="shared" si="10"/>
        <v/>
      </c>
      <c r="Z34" s="93" t="str">
        <f t="shared" si="11"/>
        <v/>
      </c>
      <c r="AA34" s="87" t="str">
        <f t="shared" si="27"/>
        <v/>
      </c>
      <c r="AB34" s="93" t="str">
        <f t="shared" si="28"/>
        <v/>
      </c>
      <c r="AC34" s="88" t="str">
        <f t="shared" si="29"/>
        <v/>
      </c>
      <c r="AD34" s="92"/>
      <c r="AE34" s="95"/>
      <c r="AF34" s="96"/>
      <c r="AG34" s="97"/>
      <c r="AH34" s="97"/>
      <c r="AI34" s="96"/>
      <c r="AJ34" s="98"/>
      <c r="AK34" s="125"/>
      <c r="AL34" s="134"/>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row>
    <row r="35" spans="1:67" ht="195" hidden="1" customHeight="1" x14ac:dyDescent="0.3">
      <c r="A35" s="247">
        <v>9</v>
      </c>
      <c r="B35" s="262"/>
      <c r="C35" s="262"/>
      <c r="D35" s="262"/>
      <c r="E35" s="269"/>
      <c r="F35" s="262"/>
      <c r="G35" s="263"/>
      <c r="H35" s="264" t="str">
        <f>IF(G35&lt;=0,"",IF(G35&lt;=2,"Muy Baja",IF(G35&lt;=24,"Baja",IF(G35&lt;=500,"Media",IF(G35&lt;=5000,"Alta","Muy Alta")))))</f>
        <v/>
      </c>
      <c r="I35" s="265" t="str">
        <f>IF(H35="","",IF(H35="Muy Baja",0.2,IF(H35="Baja",0.4,IF(H35="Media",0.6,IF(H35="Alta",0.8,IF(H35="Muy Alta",1,))))))</f>
        <v/>
      </c>
      <c r="J35" s="267"/>
      <c r="K35" s="265">
        <f ca="1">IF(NOT(ISERROR(MATCH(J35,'Tabla Impacto'!$B$221:$B$223,0))),'Tabla Impacto'!$F$223&amp;"Por favor no seleccionar los criterios de impacto(Afectación Económica o presupuestal y Pérdida Reputacional)",J35)</f>
        <v>0</v>
      </c>
      <c r="L35" s="264" t="str">
        <f ca="1">IF(OR(K35='Tabla Impacto'!$C$11,K35='Tabla Impacto'!$D$11),"Leve",IF(OR(K35='Tabla Impacto'!$C$12,K35='Tabla Impacto'!$D$12),"Menor",IF(OR(K35='Tabla Impacto'!$C$13,K35='Tabla Impacto'!$D$13),"Moderado",IF(OR(K35='Tabla Impacto'!$C$14,K35='Tabla Impacto'!$D$14),"Mayor",IF(OR(K35='Tabla Impacto'!$C$15,K35='Tabla Impacto'!$D$15),"Catastrófico","")))))</f>
        <v/>
      </c>
      <c r="M35" s="265" t="str">
        <f t="shared" ca="1" si="0"/>
        <v/>
      </c>
      <c r="N35" s="266" t="str">
        <f t="shared" ca="1" si="1"/>
        <v/>
      </c>
      <c r="O35" s="89">
        <v>1</v>
      </c>
      <c r="P35" s="90"/>
      <c r="Q35" s="91" t="str">
        <f>IF(OR(R35="Preventivo",R35="Detectivo"),"Probabilidad",IF(R35="Correctivo","Impacto",""))</f>
        <v/>
      </c>
      <c r="R35" s="92"/>
      <c r="S35" s="92"/>
      <c r="T35" s="93" t="str">
        <f t="shared" si="8"/>
        <v/>
      </c>
      <c r="U35" s="92"/>
      <c r="V35" s="92"/>
      <c r="W35" s="92"/>
      <c r="X35" s="94" t="str">
        <f>IFERROR(IF(Q35="Probabilidad",(I35-(+I35*T35)),IF(Q35="Impacto",I35,"")),"")</f>
        <v/>
      </c>
      <c r="Y35" s="87" t="str">
        <f t="shared" si="10"/>
        <v/>
      </c>
      <c r="Z35" s="93" t="str">
        <f t="shared" si="11"/>
        <v/>
      </c>
      <c r="AA35" s="87" t="str">
        <f t="shared" si="27"/>
        <v/>
      </c>
      <c r="AB35" s="93" t="str">
        <f t="shared" si="28"/>
        <v/>
      </c>
      <c r="AC35" s="88" t="str">
        <f t="shared" si="29"/>
        <v/>
      </c>
      <c r="AD35" s="92"/>
      <c r="AE35" s="95"/>
      <c r="AF35" s="96"/>
      <c r="AG35" s="97"/>
      <c r="AH35" s="97"/>
      <c r="AI35" s="96"/>
      <c r="AJ35" s="98"/>
      <c r="AK35" s="125"/>
      <c r="AL35" s="134"/>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row>
    <row r="36" spans="1:67" ht="195" hidden="1" customHeight="1" x14ac:dyDescent="0.3">
      <c r="A36" s="247"/>
      <c r="B36" s="262"/>
      <c r="C36" s="262"/>
      <c r="D36" s="262"/>
      <c r="E36" s="269"/>
      <c r="F36" s="262"/>
      <c r="G36" s="263"/>
      <c r="H36" s="264"/>
      <c r="I36" s="265"/>
      <c r="J36" s="267"/>
      <c r="K36" s="265">
        <f ca="1">IF(NOT(ISERROR(MATCH(J36,_xlfn.ANCHORARRAY(E47),0))),I49&amp;"Por favor no seleccionar los criterios de impacto",J36)</f>
        <v>0</v>
      </c>
      <c r="L36" s="264"/>
      <c r="M36" s="265"/>
      <c r="N36" s="266"/>
      <c r="O36" s="89">
        <v>2</v>
      </c>
      <c r="P36" s="90"/>
      <c r="Q36" s="91" t="str">
        <f>IF(OR(R36="Preventivo",R36="Detectivo"),"Probabilidad",IF(R36="Correctivo","Impacto",""))</f>
        <v/>
      </c>
      <c r="R36" s="92"/>
      <c r="S36" s="92"/>
      <c r="T36" s="93" t="str">
        <f t="shared" si="8"/>
        <v/>
      </c>
      <c r="U36" s="92"/>
      <c r="V36" s="92"/>
      <c r="W36" s="92"/>
      <c r="X36" s="94" t="str">
        <f>IFERROR(IF(AND(Q35="Probabilidad",Q36="Probabilidad"),(Z35-(+Z35*T36)),IF(Q36="Probabilidad",(I35-(+I35*T36)),IF(Q36="Impacto",Z35,""))),"")</f>
        <v/>
      </c>
      <c r="Y36" s="87" t="str">
        <f t="shared" si="10"/>
        <v/>
      </c>
      <c r="Z36" s="93" t="str">
        <f t="shared" si="11"/>
        <v/>
      </c>
      <c r="AA36" s="87" t="str">
        <f t="shared" si="27"/>
        <v/>
      </c>
      <c r="AB36" s="93" t="str">
        <f t="shared" si="28"/>
        <v/>
      </c>
      <c r="AC36" s="88" t="str">
        <f t="shared" si="29"/>
        <v/>
      </c>
      <c r="AD36" s="92"/>
      <c r="AE36" s="95"/>
      <c r="AF36" s="96"/>
      <c r="AG36" s="97"/>
      <c r="AH36" s="97"/>
      <c r="AI36" s="96"/>
      <c r="AJ36" s="98"/>
      <c r="AK36" s="125"/>
      <c r="AL36" s="134"/>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row>
    <row r="37" spans="1:67" ht="195" hidden="1" customHeight="1" x14ac:dyDescent="0.3">
      <c r="A37" s="247"/>
      <c r="B37" s="262"/>
      <c r="C37" s="262"/>
      <c r="D37" s="262"/>
      <c r="E37" s="269"/>
      <c r="F37" s="262"/>
      <c r="G37" s="263"/>
      <c r="H37" s="264"/>
      <c r="I37" s="265"/>
      <c r="J37" s="267"/>
      <c r="K37" s="265">
        <f ca="1">IF(NOT(ISERROR(MATCH(J37,_xlfn.ANCHORARRAY(E48),0))),I50&amp;"Por favor no seleccionar los criterios de impacto",J37)</f>
        <v>0</v>
      </c>
      <c r="L37" s="264"/>
      <c r="M37" s="265"/>
      <c r="N37" s="266"/>
      <c r="O37" s="89">
        <v>3</v>
      </c>
      <c r="P37" s="99"/>
      <c r="Q37" s="91" t="str">
        <f>IF(OR(R37="Preventivo",R37="Detectivo"),"Probabilidad",IF(R37="Correctivo","Impacto",""))</f>
        <v/>
      </c>
      <c r="R37" s="92"/>
      <c r="S37" s="92"/>
      <c r="T37" s="93" t="str">
        <f t="shared" si="8"/>
        <v/>
      </c>
      <c r="U37" s="92"/>
      <c r="V37" s="92"/>
      <c r="W37" s="92"/>
      <c r="X37" s="94" t="str">
        <f>IFERROR(IF(AND(Q36="Probabilidad",Q37="Probabilidad"),(Z36-(+Z36*T37)),IF(AND(Q36="Impacto",Q37="Probabilidad"),(Z35-(+Z35*T37)),IF(Q37="Impacto",Z36,""))),"")</f>
        <v/>
      </c>
      <c r="Y37" s="87" t="str">
        <f t="shared" si="10"/>
        <v/>
      </c>
      <c r="Z37" s="93" t="str">
        <f t="shared" si="11"/>
        <v/>
      </c>
      <c r="AA37" s="87" t="str">
        <f t="shared" si="27"/>
        <v/>
      </c>
      <c r="AB37" s="93" t="str">
        <f t="shared" si="28"/>
        <v/>
      </c>
      <c r="AC37" s="88" t="str">
        <f t="shared" si="29"/>
        <v/>
      </c>
      <c r="AD37" s="92"/>
      <c r="AE37" s="95"/>
      <c r="AF37" s="96"/>
      <c r="AG37" s="97"/>
      <c r="AH37" s="97"/>
      <c r="AI37" s="96"/>
      <c r="AJ37" s="98"/>
      <c r="AK37" s="125"/>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row>
    <row r="38" spans="1:67" ht="195" hidden="1" customHeight="1" x14ac:dyDescent="0.3">
      <c r="A38" s="247"/>
      <c r="B38" s="262"/>
      <c r="C38" s="262"/>
      <c r="D38" s="262"/>
      <c r="E38" s="269"/>
      <c r="F38" s="262"/>
      <c r="G38" s="263"/>
      <c r="H38" s="264"/>
      <c r="I38" s="265"/>
      <c r="J38" s="267"/>
      <c r="K38" s="265">
        <f ca="1">IF(NOT(ISERROR(MATCH(J38,_xlfn.ANCHORARRAY(E49),0))),I51&amp;"Por favor no seleccionar los criterios de impacto",J38)</f>
        <v>0</v>
      </c>
      <c r="L38" s="264"/>
      <c r="M38" s="265"/>
      <c r="N38" s="266"/>
      <c r="O38" s="89">
        <v>4</v>
      </c>
      <c r="P38" s="90"/>
      <c r="Q38" s="91" t="str">
        <f t="shared" ref="Q38:Q40" si="32">IF(OR(R38="Preventivo",R38="Detectivo"),"Probabilidad",IF(R38="Correctivo","Impacto",""))</f>
        <v/>
      </c>
      <c r="R38" s="92"/>
      <c r="S38" s="92"/>
      <c r="T38" s="93" t="str">
        <f t="shared" si="8"/>
        <v/>
      </c>
      <c r="U38" s="92"/>
      <c r="V38" s="92"/>
      <c r="W38" s="92"/>
      <c r="X38" s="94" t="str">
        <f t="shared" ref="X38:X40" si="33">IFERROR(IF(AND(Q37="Probabilidad",Q38="Probabilidad"),(Z37-(+Z37*T38)),IF(AND(Q37="Impacto",Q38="Probabilidad"),(Z36-(+Z36*T38)),IF(Q38="Impacto",Z37,""))),"")</f>
        <v/>
      </c>
      <c r="Y38" s="87" t="str">
        <f t="shared" si="10"/>
        <v/>
      </c>
      <c r="Z38" s="93" t="str">
        <f t="shared" si="11"/>
        <v/>
      </c>
      <c r="AA38" s="87" t="str">
        <f t="shared" si="27"/>
        <v/>
      </c>
      <c r="AB38" s="93" t="str">
        <f t="shared" si="28"/>
        <v/>
      </c>
      <c r="AC38" s="88" t="str">
        <f t="shared" si="29"/>
        <v/>
      </c>
      <c r="AD38" s="92"/>
      <c r="AE38" s="95"/>
      <c r="AF38" s="96"/>
      <c r="AG38" s="97"/>
      <c r="AH38" s="97"/>
      <c r="AI38" s="96"/>
      <c r="AJ38" s="98"/>
      <c r="AK38" s="125"/>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row>
    <row r="39" spans="1:67" ht="195" hidden="1" customHeight="1" x14ac:dyDescent="0.3">
      <c r="A39" s="247"/>
      <c r="B39" s="262"/>
      <c r="C39" s="262"/>
      <c r="D39" s="262"/>
      <c r="E39" s="269"/>
      <c r="F39" s="262"/>
      <c r="G39" s="263"/>
      <c r="H39" s="264"/>
      <c r="I39" s="265"/>
      <c r="J39" s="267"/>
      <c r="K39" s="265">
        <f ca="1">IF(NOT(ISERROR(MATCH(J39,_xlfn.ANCHORARRAY(E50),0))),I52&amp;"Por favor no seleccionar los criterios de impacto",J39)</f>
        <v>0</v>
      </c>
      <c r="L39" s="264"/>
      <c r="M39" s="265"/>
      <c r="N39" s="266"/>
      <c r="O39" s="89">
        <v>5</v>
      </c>
      <c r="P39" s="90"/>
      <c r="Q39" s="91" t="str">
        <f t="shared" si="32"/>
        <v/>
      </c>
      <c r="R39" s="92"/>
      <c r="S39" s="92"/>
      <c r="T39" s="93" t="str">
        <f t="shared" si="8"/>
        <v/>
      </c>
      <c r="U39" s="92"/>
      <c r="V39" s="92"/>
      <c r="W39" s="92"/>
      <c r="X39" s="94" t="str">
        <f t="shared" si="33"/>
        <v/>
      </c>
      <c r="Y39" s="87" t="str">
        <f t="shared" si="10"/>
        <v/>
      </c>
      <c r="Z39" s="93" t="str">
        <f t="shared" si="11"/>
        <v/>
      </c>
      <c r="AA39" s="87" t="str">
        <f t="shared" si="27"/>
        <v/>
      </c>
      <c r="AB39" s="93" t="str">
        <f t="shared" si="28"/>
        <v/>
      </c>
      <c r="AC39" s="88" t="str">
        <f t="shared" si="29"/>
        <v/>
      </c>
      <c r="AD39" s="92"/>
      <c r="AE39" s="95"/>
      <c r="AF39" s="96"/>
      <c r="AG39" s="97"/>
      <c r="AH39" s="97"/>
      <c r="AI39" s="96"/>
      <c r="AJ39" s="98"/>
      <c r="AK39" s="125"/>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row>
    <row r="40" spans="1:67" ht="195" hidden="1" customHeight="1" x14ac:dyDescent="0.3">
      <c r="A40" s="247"/>
      <c r="B40" s="262"/>
      <c r="C40" s="262"/>
      <c r="D40" s="262"/>
      <c r="E40" s="269"/>
      <c r="F40" s="262"/>
      <c r="G40" s="263"/>
      <c r="H40" s="264"/>
      <c r="I40" s="265"/>
      <c r="J40" s="267"/>
      <c r="K40" s="265">
        <f ca="1">IF(NOT(ISERROR(MATCH(J40,_xlfn.ANCHORARRAY(E51),0))),I53&amp;"Por favor no seleccionar los criterios de impacto",J40)</f>
        <v>0</v>
      </c>
      <c r="L40" s="264"/>
      <c r="M40" s="265"/>
      <c r="N40" s="266"/>
      <c r="O40" s="89">
        <v>6</v>
      </c>
      <c r="P40" s="90"/>
      <c r="Q40" s="91" t="str">
        <f t="shared" si="32"/>
        <v/>
      </c>
      <c r="R40" s="92"/>
      <c r="S40" s="92"/>
      <c r="T40" s="93" t="str">
        <f t="shared" si="8"/>
        <v/>
      </c>
      <c r="U40" s="92"/>
      <c r="V40" s="92"/>
      <c r="W40" s="92"/>
      <c r="X40" s="94" t="str">
        <f t="shared" si="33"/>
        <v/>
      </c>
      <c r="Y40" s="87" t="str">
        <f t="shared" si="10"/>
        <v/>
      </c>
      <c r="Z40" s="93" t="str">
        <f t="shared" si="11"/>
        <v/>
      </c>
      <c r="AA40" s="87" t="str">
        <f t="shared" si="27"/>
        <v/>
      </c>
      <c r="AB40" s="93" t="str">
        <f t="shared" si="28"/>
        <v/>
      </c>
      <c r="AC40" s="88" t="str">
        <f t="shared" si="29"/>
        <v/>
      </c>
      <c r="AD40" s="92"/>
      <c r="AE40" s="95"/>
      <c r="AF40" s="96"/>
      <c r="AG40" s="97"/>
      <c r="AH40" s="97"/>
      <c r="AI40" s="96"/>
      <c r="AJ40" s="98"/>
      <c r="AK40" s="125"/>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row>
    <row r="41" spans="1:67" ht="195" hidden="1" customHeight="1" x14ac:dyDescent="0.3">
      <c r="A41" s="247">
        <v>10</v>
      </c>
      <c r="B41" s="262"/>
      <c r="C41" s="262"/>
      <c r="D41" s="262"/>
      <c r="E41" s="269"/>
      <c r="F41" s="262"/>
      <c r="G41" s="263"/>
      <c r="H41" s="264" t="str">
        <f>IF(G41&lt;=0,"",IF(G41&lt;=2,"Muy Baja",IF(G41&lt;=24,"Baja",IF(G41&lt;=500,"Media",IF(G41&lt;=5000,"Alta","Muy Alta")))))</f>
        <v/>
      </c>
      <c r="I41" s="265" t="str">
        <f>IF(H41="","",IF(H41="Muy Baja",0.2,IF(H41="Baja",0.4,IF(H41="Media",0.6,IF(H41="Alta",0.8,IF(H41="Muy Alta",1,))))))</f>
        <v/>
      </c>
      <c r="J41" s="267"/>
      <c r="K41" s="265">
        <f ca="1">IF(NOT(ISERROR(MATCH(J41,'Tabla Impacto'!$B$221:$B$223,0))),'Tabla Impacto'!$F$223&amp;"Por favor no seleccionar los criterios de impacto(Afectación Económica o presupuestal y Pérdida Reputacional)",J41)</f>
        <v>0</v>
      </c>
      <c r="L41" s="264" t="str">
        <f ca="1">IF(OR(K41='Tabla Impacto'!$C$11,K41='Tabla Impacto'!$D$11),"Leve",IF(OR(K41='Tabla Impacto'!$C$12,K41='Tabla Impacto'!$D$12),"Menor",IF(OR(K41='Tabla Impacto'!$C$13,K41='Tabla Impacto'!$D$13),"Moderado",IF(OR(K41='Tabla Impacto'!$C$14,K41='Tabla Impacto'!$D$14),"Mayor",IF(OR(K41='Tabla Impacto'!$C$15,K41='Tabla Impacto'!$D$15),"Catastrófico","")))))</f>
        <v/>
      </c>
      <c r="M41" s="265" t="str">
        <f ca="1">IF(L41="","",IF(L41="Leve",0.2,IF(L41="Menor",0.4,IF(L41="Moderado",0.6,IF(L41="Mayor",0.8,IF(L41="Catastrófico",1,))))))</f>
        <v/>
      </c>
      <c r="N41" s="266" t="str">
        <f ca="1">IF(OR(AND(H41="Muy Baja",L41="Leve"),AND(H41="Muy Baja",L41="Menor"),AND(H41="Baja",L41="Leve")),"Bajo",IF(OR(AND(H41="Muy baja",L41="Moderado"),AND(H41="Baja",L41="Menor"),AND(H41="Baja",L41="Moderado"),AND(H41="Media",L41="Leve"),AND(H41="Media",L41="Menor"),AND(H41="Media",L41="Moderado"),AND(H41="Alta",L41="Leve"),AND(H41="Alta",L41="Menor")),"Moderado",IF(OR(AND(H41="Muy Baja",L41="Mayor"),AND(H41="Baja",L41="Mayor"),AND(H41="Media",L41="Mayor"),AND(H41="Alta",L41="Moderado"),AND(H41="Alta",L41="Mayor"),AND(H41="Muy Alta",L41="Leve"),AND(H41="Muy Alta",L41="Menor"),AND(H41="Muy Alta",L41="Moderado"),AND(H41="Muy Alta",L41="Mayor")),"Alto",IF(OR(AND(H41="Muy Baja",L41="Catastrófico"),AND(H41="Baja",L41="Catastrófico"),AND(H41="Media",L41="Catastrófico"),AND(H41="Alta",L41="Catastrófico"),AND(H41="Muy Alta",L41="Catastrófico")),"Extremo",""))))</f>
        <v/>
      </c>
      <c r="O41" s="89">
        <v>1</v>
      </c>
      <c r="P41" s="90"/>
      <c r="Q41" s="91" t="str">
        <f>IF(OR(R41="Preventivo",R41="Detectivo"),"Probabilidad",IF(R41="Correctivo","Impacto",""))</f>
        <v/>
      </c>
      <c r="R41" s="92"/>
      <c r="S41" s="92"/>
      <c r="T41" s="93" t="str">
        <f t="shared" si="8"/>
        <v/>
      </c>
      <c r="U41" s="92"/>
      <c r="V41" s="92"/>
      <c r="W41" s="92"/>
      <c r="X41" s="94" t="str">
        <f>IFERROR(IF(Q41="Probabilidad",(I41-(+I41*T41)),IF(Q41="Impacto",I41,"")),"")</f>
        <v/>
      </c>
      <c r="Y41" s="87" t="str">
        <f t="shared" si="10"/>
        <v/>
      </c>
      <c r="Z41" s="93" t="str">
        <f t="shared" si="11"/>
        <v/>
      </c>
      <c r="AA41" s="87" t="str">
        <f t="shared" si="27"/>
        <v/>
      </c>
      <c r="AB41" s="93" t="str">
        <f t="shared" si="28"/>
        <v/>
      </c>
      <c r="AC41" s="88" t="str">
        <f t="shared" si="29"/>
        <v/>
      </c>
      <c r="AD41" s="92"/>
      <c r="AE41" s="95"/>
      <c r="AF41" s="96"/>
      <c r="AG41" s="97"/>
      <c r="AH41" s="97"/>
      <c r="AI41" s="96"/>
      <c r="AJ41" s="98"/>
      <c r="AK41" s="125"/>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row>
    <row r="42" spans="1:67" ht="195" hidden="1" customHeight="1" x14ac:dyDescent="0.3">
      <c r="A42" s="247"/>
      <c r="B42" s="262"/>
      <c r="C42" s="262"/>
      <c r="D42" s="262"/>
      <c r="E42" s="269"/>
      <c r="F42" s="262"/>
      <c r="G42" s="263"/>
      <c r="H42" s="264"/>
      <c r="I42" s="265"/>
      <c r="J42" s="267"/>
      <c r="K42" s="265">
        <f ca="1">IF(NOT(ISERROR(MATCH(J42,_xlfn.ANCHORARRAY(E53),0))),I55&amp;"Por favor no seleccionar los criterios de impacto",J42)</f>
        <v>0</v>
      </c>
      <c r="L42" s="264"/>
      <c r="M42" s="265"/>
      <c r="N42" s="266"/>
      <c r="O42" s="89">
        <v>2</v>
      </c>
      <c r="P42" s="90"/>
      <c r="Q42" s="91" t="str">
        <f>IF(OR(R42="Preventivo",R42="Detectivo"),"Probabilidad",IF(R42="Correctivo","Impacto",""))</f>
        <v/>
      </c>
      <c r="R42" s="92"/>
      <c r="S42" s="92"/>
      <c r="T42" s="93" t="str">
        <f t="shared" si="8"/>
        <v/>
      </c>
      <c r="U42" s="92"/>
      <c r="V42" s="92"/>
      <c r="W42" s="92"/>
      <c r="X42" s="94" t="str">
        <f>IFERROR(IF(AND(Q41="Probabilidad",Q42="Probabilidad"),(Z41-(+Z41*T42)),IF(Q42="Probabilidad",(I41-(+I41*T42)),IF(Q42="Impacto",Z41,""))),"")</f>
        <v/>
      </c>
      <c r="Y42" s="87" t="str">
        <f t="shared" si="10"/>
        <v/>
      </c>
      <c r="Z42" s="93" t="str">
        <f t="shared" si="11"/>
        <v/>
      </c>
      <c r="AA42" s="87" t="str">
        <f t="shared" si="27"/>
        <v/>
      </c>
      <c r="AB42" s="93" t="str">
        <f t="shared" si="28"/>
        <v/>
      </c>
      <c r="AC42" s="88" t="str">
        <f t="shared" si="29"/>
        <v/>
      </c>
      <c r="AD42" s="92"/>
      <c r="AE42" s="95"/>
      <c r="AF42" s="96"/>
      <c r="AG42" s="97"/>
      <c r="AH42" s="97"/>
      <c r="AI42" s="96"/>
      <c r="AJ42" s="98"/>
      <c r="AK42" s="125"/>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row>
    <row r="43" spans="1:67" ht="195" hidden="1" customHeight="1" x14ac:dyDescent="0.3">
      <c r="A43" s="247"/>
      <c r="B43" s="262"/>
      <c r="C43" s="262"/>
      <c r="D43" s="262"/>
      <c r="E43" s="269"/>
      <c r="F43" s="262"/>
      <c r="G43" s="263"/>
      <c r="H43" s="264"/>
      <c r="I43" s="265"/>
      <c r="J43" s="267"/>
      <c r="K43" s="265">
        <f ca="1">IF(NOT(ISERROR(MATCH(J43,_xlfn.ANCHORARRAY(E54),0))),I56&amp;"Por favor no seleccionar los criterios de impacto",J43)</f>
        <v>0</v>
      </c>
      <c r="L43" s="264"/>
      <c r="M43" s="265"/>
      <c r="N43" s="266"/>
      <c r="O43" s="89">
        <v>3</v>
      </c>
      <c r="P43" s="99"/>
      <c r="Q43" s="91" t="str">
        <f>IF(OR(R43="Preventivo",R43="Detectivo"),"Probabilidad",IF(R43="Correctivo","Impacto",""))</f>
        <v/>
      </c>
      <c r="R43" s="92"/>
      <c r="S43" s="92"/>
      <c r="T43" s="93" t="str">
        <f t="shared" si="8"/>
        <v/>
      </c>
      <c r="U43" s="92"/>
      <c r="V43" s="92"/>
      <c r="W43" s="92"/>
      <c r="X43" s="94" t="str">
        <f>IFERROR(IF(AND(Q42="Probabilidad",Q43="Probabilidad"),(Z42-(+Z42*T43)),IF(AND(Q42="Impacto",Q43="Probabilidad"),(Z41-(+Z41*T43)),IF(Q43="Impacto",Z42,""))),"")</f>
        <v/>
      </c>
      <c r="Y43" s="87" t="str">
        <f t="shared" si="10"/>
        <v/>
      </c>
      <c r="Z43" s="93" t="str">
        <f t="shared" si="11"/>
        <v/>
      </c>
      <c r="AA43" s="87" t="str">
        <f t="shared" si="27"/>
        <v/>
      </c>
      <c r="AB43" s="93" t="str">
        <f t="shared" si="28"/>
        <v/>
      </c>
      <c r="AC43" s="88" t="str">
        <f t="shared" si="29"/>
        <v/>
      </c>
      <c r="AD43" s="92"/>
      <c r="AE43" s="95"/>
      <c r="AF43" s="96"/>
      <c r="AG43" s="97"/>
      <c r="AH43" s="97"/>
      <c r="AI43" s="96"/>
      <c r="AJ43" s="98"/>
      <c r="AK43" s="125"/>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row>
    <row r="44" spans="1:67" ht="195" hidden="1" customHeight="1" x14ac:dyDescent="0.3">
      <c r="A44" s="247"/>
      <c r="B44" s="262"/>
      <c r="C44" s="262"/>
      <c r="D44" s="262"/>
      <c r="E44" s="269"/>
      <c r="F44" s="262"/>
      <c r="G44" s="263"/>
      <c r="H44" s="264"/>
      <c r="I44" s="265"/>
      <c r="J44" s="267"/>
      <c r="K44" s="265">
        <f ca="1">IF(NOT(ISERROR(MATCH(J44,_xlfn.ANCHORARRAY(E55),0))),I57&amp;"Por favor no seleccionar los criterios de impacto",J44)</f>
        <v>0</v>
      </c>
      <c r="L44" s="264"/>
      <c r="M44" s="265"/>
      <c r="N44" s="266"/>
      <c r="O44" s="89">
        <v>4</v>
      </c>
      <c r="P44" s="90"/>
      <c r="Q44" s="91" t="str">
        <f t="shared" ref="Q44:Q46" si="34">IF(OR(R44="Preventivo",R44="Detectivo"),"Probabilidad",IF(R44="Correctivo","Impacto",""))</f>
        <v/>
      </c>
      <c r="R44" s="92"/>
      <c r="S44" s="92"/>
      <c r="T44" s="93" t="str">
        <f t="shared" si="8"/>
        <v/>
      </c>
      <c r="U44" s="92"/>
      <c r="V44" s="92"/>
      <c r="W44" s="92"/>
      <c r="X44" s="94" t="str">
        <f t="shared" ref="X44:X46" si="35">IFERROR(IF(AND(Q43="Probabilidad",Q44="Probabilidad"),(Z43-(+Z43*T44)),IF(AND(Q43="Impacto",Q44="Probabilidad"),(Z42-(+Z42*T44)),IF(Q44="Impacto",Z43,""))),"")</f>
        <v/>
      </c>
      <c r="Y44" s="87" t="str">
        <f t="shared" si="10"/>
        <v/>
      </c>
      <c r="Z44" s="93" t="str">
        <f t="shared" si="11"/>
        <v/>
      </c>
      <c r="AA44" s="87" t="str">
        <f t="shared" si="27"/>
        <v/>
      </c>
      <c r="AB44" s="93" t="str">
        <f t="shared" si="28"/>
        <v/>
      </c>
      <c r="AC44" s="88" t="str">
        <f t="shared" si="29"/>
        <v/>
      </c>
      <c r="AD44" s="92"/>
      <c r="AE44" s="95"/>
      <c r="AF44" s="96"/>
      <c r="AG44" s="97"/>
      <c r="AH44" s="97"/>
      <c r="AI44" s="96"/>
      <c r="AJ44" s="98"/>
      <c r="AK44" s="125"/>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row>
    <row r="45" spans="1:67" ht="195" hidden="1" customHeight="1" x14ac:dyDescent="0.3">
      <c r="A45" s="247"/>
      <c r="B45" s="262"/>
      <c r="C45" s="262"/>
      <c r="D45" s="262"/>
      <c r="E45" s="269"/>
      <c r="F45" s="262"/>
      <c r="G45" s="263"/>
      <c r="H45" s="264"/>
      <c r="I45" s="265"/>
      <c r="J45" s="267"/>
      <c r="K45" s="265">
        <f ca="1">IF(NOT(ISERROR(MATCH(J45,_xlfn.ANCHORARRAY(E56),0))),I58&amp;"Por favor no seleccionar los criterios de impacto",J45)</f>
        <v>0</v>
      </c>
      <c r="L45" s="264"/>
      <c r="M45" s="265"/>
      <c r="N45" s="266"/>
      <c r="O45" s="89">
        <v>5</v>
      </c>
      <c r="P45" s="90"/>
      <c r="Q45" s="91" t="str">
        <f t="shared" si="34"/>
        <v/>
      </c>
      <c r="R45" s="92"/>
      <c r="S45" s="92"/>
      <c r="T45" s="93" t="str">
        <f t="shared" si="8"/>
        <v/>
      </c>
      <c r="U45" s="92"/>
      <c r="V45" s="92"/>
      <c r="W45" s="92"/>
      <c r="X45" s="94" t="str">
        <f t="shared" si="35"/>
        <v/>
      </c>
      <c r="Y45" s="87" t="str">
        <f t="shared" si="10"/>
        <v/>
      </c>
      <c r="Z45" s="93" t="str">
        <f t="shared" si="11"/>
        <v/>
      </c>
      <c r="AA45" s="87" t="str">
        <f t="shared" si="27"/>
        <v/>
      </c>
      <c r="AB45" s="93" t="str">
        <f t="shared" si="28"/>
        <v/>
      </c>
      <c r="AC45" s="88" t="str">
        <f t="shared" si="29"/>
        <v/>
      </c>
      <c r="AD45" s="92"/>
      <c r="AE45" s="95"/>
      <c r="AF45" s="96"/>
      <c r="AG45" s="97"/>
      <c r="AH45" s="97"/>
      <c r="AI45" s="96"/>
      <c r="AJ45" s="98"/>
      <c r="AK45" s="125"/>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row>
    <row r="46" spans="1:67" ht="195" hidden="1" customHeight="1" x14ac:dyDescent="0.3">
      <c r="A46" s="247"/>
      <c r="B46" s="262"/>
      <c r="C46" s="262"/>
      <c r="D46" s="262"/>
      <c r="E46" s="269"/>
      <c r="F46" s="262"/>
      <c r="G46" s="263"/>
      <c r="H46" s="264"/>
      <c r="I46" s="265"/>
      <c r="J46" s="267"/>
      <c r="K46" s="265">
        <f ca="1">IF(NOT(ISERROR(MATCH(J46,_xlfn.ANCHORARRAY(E57),0))),I59&amp;"Por favor no seleccionar los criterios de impacto",J46)</f>
        <v>0</v>
      </c>
      <c r="L46" s="264"/>
      <c r="M46" s="265"/>
      <c r="N46" s="266"/>
      <c r="O46" s="89">
        <v>6</v>
      </c>
      <c r="P46" s="90"/>
      <c r="Q46" s="91" t="str">
        <f t="shared" si="34"/>
        <v/>
      </c>
      <c r="R46" s="92"/>
      <c r="S46" s="92"/>
      <c r="T46" s="93" t="str">
        <f t="shared" si="8"/>
        <v/>
      </c>
      <c r="U46" s="92"/>
      <c r="V46" s="92"/>
      <c r="W46" s="92"/>
      <c r="X46" s="94" t="str">
        <f t="shared" si="35"/>
        <v/>
      </c>
      <c r="Y46" s="87" t="str">
        <f t="shared" si="10"/>
        <v/>
      </c>
      <c r="Z46" s="93" t="str">
        <f t="shared" si="11"/>
        <v/>
      </c>
      <c r="AA46" s="87" t="str">
        <f t="shared" si="27"/>
        <v/>
      </c>
      <c r="AB46" s="93" t="str">
        <f t="shared" si="28"/>
        <v/>
      </c>
      <c r="AC46" s="88" t="str">
        <f t="shared" si="29"/>
        <v/>
      </c>
      <c r="AD46" s="92"/>
      <c r="AE46" s="95"/>
      <c r="AF46" s="96"/>
      <c r="AG46" s="97"/>
      <c r="AH46" s="97"/>
      <c r="AI46" s="96"/>
      <c r="AJ46" s="98"/>
      <c r="AK46" s="125"/>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row>
    <row r="47" spans="1:67" ht="195" hidden="1" customHeight="1" x14ac:dyDescent="0.3">
      <c r="A47" s="247">
        <v>7</v>
      </c>
      <c r="B47" s="262"/>
      <c r="C47" s="262"/>
      <c r="D47" s="262"/>
      <c r="E47" s="269"/>
      <c r="F47" s="262"/>
      <c r="G47" s="263"/>
      <c r="H47" s="264" t="str">
        <f>IF(G47&lt;=0,"",IF(G47&lt;=2,"Muy Baja",IF(G47&lt;=24,"Baja",IF(G47&lt;=500,"Media",IF(G47&lt;=5000,"Alta","Muy Alta")))))</f>
        <v/>
      </c>
      <c r="I47" s="265" t="str">
        <f>IF(H47="","",IF(H47="Muy Baja",0.2,IF(H47="Baja",0.4,IF(H47="Media",0.6,IF(H47="Alta",0.8,IF(H47="Muy Alta",1,))))))</f>
        <v/>
      </c>
      <c r="J47" s="267"/>
      <c r="K47" s="265">
        <f ca="1">IF(NOT(ISERROR(MATCH(J47,'Tabla Impacto'!$B$221:$B$223,0))),'Tabla Impacto'!$F$223&amp;"Por favor no seleccionar los criterios de impacto(Afectación Económica o presupuestal y Pérdida Reputacional)",J47)</f>
        <v>0</v>
      </c>
      <c r="L47" s="264" t="str">
        <f ca="1">IF(OR(K47='Tabla Impacto'!$C$11,K47='Tabla Impacto'!$D$11),"Leve",IF(OR(K47='Tabla Impacto'!$C$12,K47='Tabla Impacto'!$D$12),"Menor",IF(OR(K47='Tabla Impacto'!$C$13,K47='Tabla Impacto'!$D$13),"Moderado",IF(OR(K47='Tabla Impacto'!$C$14,K47='Tabla Impacto'!$D$14),"Mayor",IF(OR(K47='Tabla Impacto'!$C$15,K47='Tabla Impacto'!$D$15),"Catastrófico","")))))</f>
        <v/>
      </c>
      <c r="M47" s="265" t="str">
        <f ca="1">IF(L47="","",IF(L47="Leve",0.2,IF(L47="Menor",0.4,IF(L47="Moderado",0.6,IF(L47="Mayor",0.8,IF(L47="Catastrófico",1,))))))</f>
        <v/>
      </c>
      <c r="N47" s="266" t="str">
        <f ca="1">IF(OR(AND(H47="Muy Baja",L47="Leve"),AND(H47="Muy Baja",L47="Menor"),AND(H47="Baja",L47="Leve")),"Bajo",IF(OR(AND(H47="Muy baja",L47="Moderado"),AND(H47="Baja",L47="Menor"),AND(H47="Baja",L47="Moderado"),AND(H47="Media",L47="Leve"),AND(H47="Media",L47="Menor"),AND(H47="Media",L47="Moderado"),AND(H47="Alta",L47="Leve"),AND(H47="Alta",L47="Menor")),"Moderado",IF(OR(AND(H47="Muy Baja",L47="Mayor"),AND(H47="Baja",L47="Mayor"),AND(H47="Media",L47="Mayor"),AND(H47="Alta",L47="Moderado"),AND(H47="Alta",L47="Mayor"),AND(H47="Muy Alta",L47="Leve"),AND(H47="Muy Alta",L47="Menor"),AND(H47="Muy Alta",L47="Moderado"),AND(H47="Muy Alta",L47="Mayor")),"Alto",IF(OR(AND(H47="Muy Baja",L47="Catastrófico"),AND(H47="Baja",L47="Catastrófico"),AND(H47="Media",L47="Catastrófico"),AND(H47="Alta",L47="Catastrófico"),AND(H47="Muy Alta",L47="Catastrófico")),"Extremo",""))))</f>
        <v/>
      </c>
      <c r="O47" s="89">
        <v>1</v>
      </c>
      <c r="P47" s="90"/>
      <c r="Q47" s="91" t="str">
        <f>IF(OR(R47="Preventivo",R47="Detectivo"),"Probabilidad",IF(R47="Correctivo","Impacto",""))</f>
        <v/>
      </c>
      <c r="R47" s="92"/>
      <c r="S47" s="92"/>
      <c r="T47" s="93" t="str">
        <f t="shared" si="8"/>
        <v/>
      </c>
      <c r="U47" s="92"/>
      <c r="V47" s="92"/>
      <c r="W47" s="92"/>
      <c r="X47" s="94" t="str">
        <f>IFERROR(IF(Q47="Probabilidad",(I47-(+I47*T47)),IF(Q47="Impacto",I47,"")),"")</f>
        <v/>
      </c>
      <c r="Y47" s="87" t="str">
        <f t="shared" si="10"/>
        <v/>
      </c>
      <c r="Z47" s="93" t="str">
        <f t="shared" si="11"/>
        <v/>
      </c>
      <c r="AA47" s="87" t="str">
        <f t="shared" si="27"/>
        <v/>
      </c>
      <c r="AB47" s="93" t="str">
        <f t="shared" si="28"/>
        <v/>
      </c>
      <c r="AC47" s="88" t="str">
        <f t="shared" si="29"/>
        <v/>
      </c>
      <c r="AD47" s="92"/>
      <c r="AE47" s="95"/>
      <c r="AF47" s="96"/>
      <c r="AG47" s="97"/>
      <c r="AH47" s="97"/>
      <c r="AI47" s="96"/>
      <c r="AJ47" s="98"/>
      <c r="AK47" s="125"/>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row>
    <row r="48" spans="1:67" ht="195" hidden="1" customHeight="1" x14ac:dyDescent="0.3">
      <c r="A48" s="247"/>
      <c r="B48" s="262"/>
      <c r="C48" s="262"/>
      <c r="D48" s="262"/>
      <c r="E48" s="269"/>
      <c r="F48" s="262"/>
      <c r="G48" s="263"/>
      <c r="H48" s="264"/>
      <c r="I48" s="265"/>
      <c r="J48" s="267"/>
      <c r="K48" s="265">
        <f ca="1">IF(NOT(ISERROR(MATCH(J48,_xlfn.ANCHORARRAY(E59),0))),I61&amp;"Por favor no seleccionar los criterios de impacto",J48)</f>
        <v>0</v>
      </c>
      <c r="L48" s="264"/>
      <c r="M48" s="265"/>
      <c r="N48" s="266"/>
      <c r="O48" s="89">
        <v>2</v>
      </c>
      <c r="P48" s="90"/>
      <c r="Q48" s="91" t="str">
        <f>IF(OR(R48="Preventivo",R48="Detectivo"),"Probabilidad",IF(R48="Correctivo","Impacto",""))</f>
        <v/>
      </c>
      <c r="R48" s="92"/>
      <c r="S48" s="92"/>
      <c r="T48" s="93" t="str">
        <f t="shared" si="8"/>
        <v/>
      </c>
      <c r="U48" s="92"/>
      <c r="V48" s="92"/>
      <c r="W48" s="92"/>
      <c r="X48" s="94" t="str">
        <f>IFERROR(IF(AND(Q47="Probabilidad",Q48="Probabilidad"),(Z47-(+Z47*T48)),IF(Q48="Probabilidad",(I47-(+I47*T48)),IF(Q48="Impacto",Z47,""))),"")</f>
        <v/>
      </c>
      <c r="Y48" s="87" t="str">
        <f t="shared" si="10"/>
        <v/>
      </c>
      <c r="Z48" s="93" t="str">
        <f t="shared" si="11"/>
        <v/>
      </c>
      <c r="AA48" s="87" t="str">
        <f t="shared" si="27"/>
        <v/>
      </c>
      <c r="AB48" s="93" t="str">
        <f t="shared" si="28"/>
        <v/>
      </c>
      <c r="AC48" s="88" t="str">
        <f t="shared" si="29"/>
        <v/>
      </c>
      <c r="AD48" s="92"/>
      <c r="AE48" s="95"/>
      <c r="AF48" s="96"/>
      <c r="AG48" s="97"/>
      <c r="AH48" s="97"/>
      <c r="AI48" s="96"/>
      <c r="AJ48" s="98"/>
      <c r="AK48" s="125"/>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row>
    <row r="49" spans="1:67" ht="195" hidden="1" customHeight="1" x14ac:dyDescent="0.3">
      <c r="A49" s="247"/>
      <c r="B49" s="262"/>
      <c r="C49" s="262"/>
      <c r="D49" s="262"/>
      <c r="E49" s="269"/>
      <c r="F49" s="262"/>
      <c r="G49" s="263"/>
      <c r="H49" s="264"/>
      <c r="I49" s="265"/>
      <c r="J49" s="267"/>
      <c r="K49" s="265">
        <f ca="1">IF(NOT(ISERROR(MATCH(J49,_xlfn.ANCHORARRAY(E60),0))),I62&amp;"Por favor no seleccionar los criterios de impacto",J49)</f>
        <v>0</v>
      </c>
      <c r="L49" s="264"/>
      <c r="M49" s="265"/>
      <c r="N49" s="266"/>
      <c r="O49" s="89">
        <v>3</v>
      </c>
      <c r="P49" s="99"/>
      <c r="Q49" s="91" t="str">
        <f>IF(OR(R49="Preventivo",R49="Detectivo"),"Probabilidad",IF(R49="Correctivo","Impacto",""))</f>
        <v/>
      </c>
      <c r="R49" s="92"/>
      <c r="S49" s="92"/>
      <c r="T49" s="93" t="str">
        <f t="shared" si="8"/>
        <v/>
      </c>
      <c r="U49" s="92"/>
      <c r="V49" s="92"/>
      <c r="W49" s="92"/>
      <c r="X49" s="94" t="str">
        <f>IFERROR(IF(AND(Q48="Probabilidad",Q49="Probabilidad"),(Z48-(+Z48*T49)),IF(AND(Q48="Impacto",Q49="Probabilidad"),(Z47-(+Z47*T49)),IF(Q49="Impacto",Z48,""))),"")</f>
        <v/>
      </c>
      <c r="Y49" s="87" t="str">
        <f t="shared" si="10"/>
        <v/>
      </c>
      <c r="Z49" s="93" t="str">
        <f t="shared" si="11"/>
        <v/>
      </c>
      <c r="AA49" s="87" t="str">
        <f t="shared" si="27"/>
        <v/>
      </c>
      <c r="AB49" s="93" t="str">
        <f t="shared" si="28"/>
        <v/>
      </c>
      <c r="AC49" s="88" t="str">
        <f t="shared" si="29"/>
        <v/>
      </c>
      <c r="AD49" s="92"/>
      <c r="AE49" s="95"/>
      <c r="AF49" s="96"/>
      <c r="AG49" s="97"/>
      <c r="AH49" s="97"/>
      <c r="AI49" s="96"/>
      <c r="AJ49" s="98"/>
      <c r="AK49" s="125"/>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row>
    <row r="50" spans="1:67" ht="195" hidden="1" customHeight="1" x14ac:dyDescent="0.3">
      <c r="A50" s="247"/>
      <c r="B50" s="262"/>
      <c r="C50" s="262"/>
      <c r="D50" s="262"/>
      <c r="E50" s="269"/>
      <c r="F50" s="262"/>
      <c r="G50" s="263"/>
      <c r="H50" s="264"/>
      <c r="I50" s="265"/>
      <c r="J50" s="267"/>
      <c r="K50" s="265">
        <f ca="1">IF(NOT(ISERROR(MATCH(J50,_xlfn.ANCHORARRAY(E61),0))),I63&amp;"Por favor no seleccionar los criterios de impacto",J50)</f>
        <v>0</v>
      </c>
      <c r="L50" s="264"/>
      <c r="M50" s="265"/>
      <c r="N50" s="266"/>
      <c r="O50" s="89">
        <v>4</v>
      </c>
      <c r="P50" s="90"/>
      <c r="Q50" s="91" t="str">
        <f t="shared" ref="Q50:Q52" si="36">IF(OR(R50="Preventivo",R50="Detectivo"),"Probabilidad",IF(R50="Correctivo","Impacto",""))</f>
        <v/>
      </c>
      <c r="R50" s="92"/>
      <c r="S50" s="92"/>
      <c r="T50" s="93" t="str">
        <f t="shared" si="8"/>
        <v/>
      </c>
      <c r="U50" s="92"/>
      <c r="V50" s="92"/>
      <c r="W50" s="92"/>
      <c r="X50" s="94" t="str">
        <f t="shared" ref="X50:X52" si="37">IFERROR(IF(AND(Q49="Probabilidad",Q50="Probabilidad"),(Z49-(+Z49*T50)),IF(AND(Q49="Impacto",Q50="Probabilidad"),(Z48-(+Z48*T50)),IF(Q50="Impacto",Z49,""))),"")</f>
        <v/>
      </c>
      <c r="Y50" s="87" t="str">
        <f t="shared" si="10"/>
        <v/>
      </c>
      <c r="Z50" s="93" t="str">
        <f t="shared" si="11"/>
        <v/>
      </c>
      <c r="AA50" s="87" t="str">
        <f t="shared" si="27"/>
        <v/>
      </c>
      <c r="AB50" s="93" t="str">
        <f t="shared" si="28"/>
        <v/>
      </c>
      <c r="AC50" s="88" t="str">
        <f t="shared" si="29"/>
        <v/>
      </c>
      <c r="AD50" s="92"/>
      <c r="AE50" s="95"/>
      <c r="AF50" s="96"/>
      <c r="AG50" s="97"/>
      <c r="AH50" s="97"/>
      <c r="AI50" s="96"/>
      <c r="AJ50" s="98"/>
      <c r="AK50" s="125"/>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row>
    <row r="51" spans="1:67" ht="195" hidden="1" customHeight="1" x14ac:dyDescent="0.3">
      <c r="A51" s="247"/>
      <c r="B51" s="262"/>
      <c r="C51" s="262"/>
      <c r="D51" s="262"/>
      <c r="E51" s="269"/>
      <c r="F51" s="262"/>
      <c r="G51" s="263"/>
      <c r="H51" s="264"/>
      <c r="I51" s="265"/>
      <c r="J51" s="267"/>
      <c r="K51" s="265">
        <f ca="1">IF(NOT(ISERROR(MATCH(J51,_xlfn.ANCHORARRAY(E62),0))),I64&amp;"Por favor no seleccionar los criterios de impacto",J51)</f>
        <v>0</v>
      </c>
      <c r="L51" s="264"/>
      <c r="M51" s="265"/>
      <c r="N51" s="266"/>
      <c r="O51" s="89">
        <v>5</v>
      </c>
      <c r="P51" s="90"/>
      <c r="Q51" s="91" t="str">
        <f t="shared" si="36"/>
        <v/>
      </c>
      <c r="R51" s="92"/>
      <c r="S51" s="92"/>
      <c r="T51" s="93" t="str">
        <f t="shared" si="8"/>
        <v/>
      </c>
      <c r="U51" s="92"/>
      <c r="V51" s="92"/>
      <c r="W51" s="92"/>
      <c r="X51" s="94" t="str">
        <f t="shared" si="37"/>
        <v/>
      </c>
      <c r="Y51" s="87" t="str">
        <f t="shared" si="10"/>
        <v/>
      </c>
      <c r="Z51" s="93" t="str">
        <f t="shared" si="11"/>
        <v/>
      </c>
      <c r="AA51" s="87" t="str">
        <f t="shared" si="27"/>
        <v/>
      </c>
      <c r="AB51" s="93" t="str">
        <f t="shared" si="28"/>
        <v/>
      </c>
      <c r="AC51" s="88" t="str">
        <f t="shared" si="29"/>
        <v/>
      </c>
      <c r="AD51" s="92"/>
      <c r="AE51" s="95"/>
      <c r="AF51" s="96"/>
      <c r="AG51" s="97"/>
      <c r="AH51" s="97"/>
      <c r="AI51" s="96"/>
      <c r="AJ51" s="98"/>
      <c r="AK51" s="125"/>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row>
    <row r="52" spans="1:67" ht="195" hidden="1" customHeight="1" x14ac:dyDescent="0.3">
      <c r="A52" s="247"/>
      <c r="B52" s="262"/>
      <c r="C52" s="262"/>
      <c r="D52" s="262"/>
      <c r="E52" s="269"/>
      <c r="F52" s="262"/>
      <c r="G52" s="263"/>
      <c r="H52" s="264"/>
      <c r="I52" s="265"/>
      <c r="J52" s="267"/>
      <c r="K52" s="265">
        <f ca="1">IF(NOT(ISERROR(MATCH(J52,_xlfn.ANCHORARRAY(E63),0))),I65&amp;"Por favor no seleccionar los criterios de impacto",J52)</f>
        <v>0</v>
      </c>
      <c r="L52" s="264"/>
      <c r="M52" s="265"/>
      <c r="N52" s="266"/>
      <c r="O52" s="89">
        <v>6</v>
      </c>
      <c r="P52" s="90"/>
      <c r="Q52" s="91" t="str">
        <f t="shared" si="36"/>
        <v/>
      </c>
      <c r="R52" s="92"/>
      <c r="S52" s="92"/>
      <c r="T52" s="93" t="str">
        <f t="shared" si="8"/>
        <v/>
      </c>
      <c r="U52" s="92"/>
      <c r="V52" s="92"/>
      <c r="W52" s="92"/>
      <c r="X52" s="94" t="str">
        <f t="shared" si="37"/>
        <v/>
      </c>
      <c r="Y52" s="87" t="str">
        <f t="shared" si="10"/>
        <v/>
      </c>
      <c r="Z52" s="93" t="str">
        <f t="shared" si="11"/>
        <v/>
      </c>
      <c r="AA52" s="87" t="str">
        <f t="shared" si="27"/>
        <v/>
      </c>
      <c r="AB52" s="93" t="str">
        <f t="shared" si="28"/>
        <v/>
      </c>
      <c r="AC52" s="88" t="str">
        <f t="shared" si="29"/>
        <v/>
      </c>
      <c r="AD52" s="92"/>
      <c r="AE52" s="95"/>
      <c r="AF52" s="96"/>
      <c r="AG52" s="97"/>
      <c r="AH52" s="97"/>
      <c r="AI52" s="96"/>
      <c r="AJ52" s="98"/>
      <c r="AK52" s="125"/>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row>
    <row r="53" spans="1:67" ht="195" hidden="1" customHeight="1" x14ac:dyDescent="0.3">
      <c r="A53" s="247">
        <v>8</v>
      </c>
      <c r="B53" s="105"/>
      <c r="C53" s="105"/>
      <c r="D53" s="105"/>
      <c r="E53" s="106"/>
      <c r="F53" s="105"/>
      <c r="G53" s="116">
        <v>454</v>
      </c>
      <c r="H53" s="117" t="str">
        <f>IF(G53&lt;=0,"",IF(G53&lt;=2,"Muy Baja",IF(G53&lt;=24,"Baja",IF(G53&lt;=500,"Media",IF(G53&lt;=5000,"Alta","Muy Alta")))))</f>
        <v>Media</v>
      </c>
      <c r="I53" s="118">
        <f>IF(H53="","",IF(H53="Muy Baja",0.2,IF(H53="Baja",0.4,IF(H53="Media",0.6,IF(H53="Alta",0.8,IF(H53="Muy Alta",1,))))))</f>
        <v>0.6</v>
      </c>
      <c r="J53" s="119" t="s">
        <v>150</v>
      </c>
      <c r="K53" s="108" t="str">
        <f ca="1">IF(NOT(ISERROR(MATCH(J53,'Tabla Impacto'!$B$221:$B$223,0))),'Tabla Impacto'!$F$223&amp;"Por favor no seleccionar los criterios de impacto(Afectación Económica o presupuestal y Pérdida Reputacional)",J53)</f>
        <v xml:space="preserve">     Mayor a 500 SMLMV </v>
      </c>
      <c r="L53" s="107" t="str">
        <f ca="1">IF(OR(K53='Tabla Impacto'!$C$11,K53='Tabla Impacto'!$D$11),"Leve",IF(OR(K53='Tabla Impacto'!$C$12,K53='Tabla Impacto'!$D$12),"Menor",IF(OR(K53='Tabla Impacto'!$C$13,K53='Tabla Impacto'!$D$13),"Moderado",IF(OR(K53='Tabla Impacto'!$C$14,K53='Tabla Impacto'!$D$14),"Mayor",IF(OR(K53='Tabla Impacto'!$C$15,K53='Tabla Impacto'!$D$15),"Catastrófico","")))))</f>
        <v>Catastrófico</v>
      </c>
      <c r="M53" s="118">
        <f t="shared" ref="M53:M59" ca="1" si="38">IF(L53="","",IF(L53="Leve",0.2,IF(L53="Menor",0.4,IF(L53="Moderado",0.6,IF(L53="Mayor",0.8,IF(L53="Catastrófico",1,))))))</f>
        <v>1</v>
      </c>
      <c r="N53" s="109" t="str">
        <f t="shared" ref="N53:N64" ca="1" si="39">IF(OR(AND(H53="Muy Baja",L53="Leve"),AND(H53="Muy Baja",L53="Menor"),AND(H53="Baja",L53="Leve")),"Bajo",IF(OR(AND(H53="Muy baja",L53="Moderado"),AND(H53="Baja",L53="Menor"),AND(H53="Baja",L53="Moderado"),AND(H53="Media",L53="Leve"),AND(H53="Media",L53="Menor"),AND(H53="Media",L53="Moderado"),AND(H53="Alta",L53="Leve"),AND(H53="Alta",L53="Menor")),"Moderado",IF(OR(AND(H53="Muy Baja",L53="Mayor"),AND(H53="Baja",L53="Mayor"),AND(H53="Media",L53="Mayor"),AND(H53="Alta",L53="Moderado"),AND(H53="Alta",L53="Mayor"),AND(H53="Muy Alta",L53="Leve"),AND(H53="Muy Alta",L53="Menor"),AND(H53="Muy Alta",L53="Moderado"),AND(H53="Muy Alta",L53="Mayor")),"Alto",IF(OR(AND(H53="Muy Baja",L53="Catastrófico"),AND(H53="Baja",L53="Catastrófico"),AND(H53="Media",L53="Catastrófico"),AND(H53="Alta",L53="Catastrófico"),AND(H53="Muy Alta",L53="Catastrófico")),"Extremo",""))))</f>
        <v>Extremo</v>
      </c>
      <c r="O53" s="89">
        <v>1</v>
      </c>
      <c r="P53" s="90"/>
      <c r="Q53" s="91" t="str">
        <f>IF(OR(R53="Preventivo",R53="Detectivo"),"Probabilidad",IF(R53="Correctivo","Impacto",""))</f>
        <v>Probabilidad</v>
      </c>
      <c r="R53" s="92" t="s">
        <v>14</v>
      </c>
      <c r="S53" s="92" t="s">
        <v>9</v>
      </c>
      <c r="T53" s="93" t="str">
        <f>IF(AND(R53="Preventivo",S53="Automático"),"50%",IF(AND(R53="Preventivo",S53="Manual"),"40%",IF(AND(R53="Detectivo",S53="Automático"),"40%",IF(AND(R53="Detectivo",S53="Manual"),"30%",IF(AND(R53="Correctivo",S53="Automático"),"35%",IF(AND(R53="Correctivo",S53="Manual"),"25%",""))))))</f>
        <v>40%</v>
      </c>
      <c r="U53" s="92"/>
      <c r="V53" s="92"/>
      <c r="W53" s="92"/>
      <c r="X53" s="94">
        <f>IFERROR(IF(Q53="Probabilidad",(I53-(+I53*T53)),IF(Q53="Impacto",I53,"")),"")</f>
        <v>0.36</v>
      </c>
      <c r="Y53" s="87" t="str">
        <f>IFERROR(IF(X53="","",IF(X53&lt;=0.2,"Muy Baja",IF(X53&lt;=0.4,"Baja",IF(X53&lt;=0.6,"Media",IF(X53&lt;=0.8,"Alta","Muy Alta"))))),"")</f>
        <v>Baja</v>
      </c>
      <c r="Z53" s="93">
        <f>+X53</f>
        <v>0.36</v>
      </c>
      <c r="AA53" s="87" t="str">
        <f ca="1">IFERROR(IF(AB53="","",IF(AB53&lt;=0.2,"Leve",IF(AB53&lt;=0.4,"Menor",IF(AB53&lt;=0.6,"Moderado",IF(AB53&lt;=0.8,"Mayor","Catastrófico"))))),"")</f>
        <v>Catastrófico</v>
      </c>
      <c r="AB53" s="93">
        <f ca="1">IFERROR(IF(Q53="Impacto",(M53-(+M53*T53)),IF(Q53="Probabilidad",M53,"")),"")</f>
        <v>1</v>
      </c>
      <c r="AC53" s="88" t="str">
        <f ca="1">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Extremo</v>
      </c>
      <c r="AD53" s="92"/>
      <c r="AE53" s="95"/>
      <c r="AF53" s="96"/>
      <c r="AG53" s="97"/>
      <c r="AH53" s="97"/>
      <c r="AI53" s="96"/>
      <c r="AJ53" s="98"/>
      <c r="AK53" s="125"/>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row>
    <row r="54" spans="1:67" ht="195" hidden="1" customHeight="1" x14ac:dyDescent="0.3">
      <c r="A54" s="247"/>
      <c r="B54" s="110"/>
      <c r="C54" s="110"/>
      <c r="D54" s="110"/>
      <c r="E54" s="111"/>
      <c r="F54" s="110"/>
      <c r="G54" s="120">
        <v>454</v>
      </c>
      <c r="H54" s="117" t="str">
        <f t="shared" ref="H54:H58" si="40">IF(G54&lt;=0,"",IF(G54&lt;=2,"Muy Baja",IF(G54&lt;=24,"Baja",IF(G54&lt;=500,"Media",IF(G54&lt;=5000,"Alta","Muy Alta")))))</f>
        <v>Media</v>
      </c>
      <c r="I54" s="118">
        <f t="shared" ref="I54:I58" si="41">IF(H54="","",IF(H54="Muy Baja",0.2,IF(H54="Baja",0.4,IF(H54="Media",0.6,IF(H54="Alta",0.8,IF(H54="Muy Alta",1,))))))</f>
        <v>0.6</v>
      </c>
      <c r="J54" s="119" t="s">
        <v>150</v>
      </c>
      <c r="K54" s="112" t="str">
        <f ca="1">IF(NOT(ISERROR(MATCH(J54,_xlfn.ANCHORARRAY(E65),0))),I67&amp;"Por favor no seleccionar los criterios de impacto",J54)</f>
        <v xml:space="preserve">     Mayor a 500 SMLMV </v>
      </c>
      <c r="L54" s="107" t="str">
        <f ca="1">IF(OR(K54='Tabla Impacto'!$C$11,K54='Tabla Impacto'!$D$11),"Leve",IF(OR(K54='Tabla Impacto'!$C$12,K54='Tabla Impacto'!$D$12),"Menor",IF(OR(K54='Tabla Impacto'!$C$13,K54='Tabla Impacto'!$D$13),"Moderado",IF(OR(K54='Tabla Impacto'!$C$14,K54='Tabla Impacto'!$D$14),"Mayor",IF(OR(K54='Tabla Impacto'!$C$15,K54='Tabla Impacto'!$D$15),"Catastrófico","")))))</f>
        <v>Catastrófico</v>
      </c>
      <c r="M54" s="118">
        <f t="shared" ca="1" si="38"/>
        <v>1</v>
      </c>
      <c r="N54" s="109" t="str">
        <f t="shared" ca="1" si="39"/>
        <v>Extremo</v>
      </c>
      <c r="O54" s="89">
        <v>2</v>
      </c>
      <c r="P54" s="90"/>
      <c r="Q54" s="91" t="str">
        <f>IF(OR(R54="Preventivo",R54="Detectivo"),"Probabilidad",IF(R54="Correctivo","Impacto",""))</f>
        <v/>
      </c>
      <c r="R54" s="92"/>
      <c r="S54" s="92"/>
      <c r="T54" s="93" t="str">
        <f t="shared" ref="T54:T58" si="42">IF(AND(R54="Preventivo",S54="Automático"),"50%",IF(AND(R54="Preventivo",S54="Manual"),"40%",IF(AND(R54="Detectivo",S54="Automático"),"40%",IF(AND(R54="Detectivo",S54="Manual"),"30%",IF(AND(R54="Correctivo",S54="Automático"),"35%",IF(AND(R54="Correctivo",S54="Manual"),"25%",""))))))</f>
        <v/>
      </c>
      <c r="U54" s="92"/>
      <c r="V54" s="92"/>
      <c r="W54" s="92"/>
      <c r="X54" s="94" t="str">
        <f>IFERROR(IF(AND(Q53="Probabilidad",Q54="Probabilidad"),(Z53-(+Z53*T54)),IF(Q54="Probabilidad",(I53-(+I53*T54)),IF(Q54="Impacto",Z53,""))),"")</f>
        <v/>
      </c>
      <c r="Y54" s="87" t="str">
        <f t="shared" ref="Y54:Y64" si="43">IFERROR(IF(X54="","",IF(X54&lt;=0.2,"Muy Baja",IF(X54&lt;=0.4,"Baja",IF(X54&lt;=0.6,"Media",IF(X54&lt;=0.8,"Alta","Muy Alta"))))),"")</f>
        <v/>
      </c>
      <c r="Z54" s="93" t="str">
        <f t="shared" ref="Z54:Z58" si="44">+X54</f>
        <v/>
      </c>
      <c r="AA54" s="87" t="str">
        <f t="shared" ref="AA54:AA64" si="45">IFERROR(IF(AB54="","",IF(AB54&lt;=0.2,"Leve",IF(AB54&lt;=0.4,"Menor",IF(AB54&lt;=0.6,"Moderado",IF(AB54&lt;=0.8,"Mayor","Catastrófico"))))),"")</f>
        <v/>
      </c>
      <c r="AB54" s="93" t="str">
        <f>IFERROR(IF(AND(Q53="Impacto",Q54="Impacto"),(AB47-(+AB47*T54)),IF(Q54="Impacto",($M$53-(+$M$53*T54)),IF(Q54="Probabilidad",AB47,""))),"")</f>
        <v/>
      </c>
      <c r="AC54" s="88" t="str">
        <f t="shared" ref="AC54:AC55" si="46">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92"/>
      <c r="AE54" s="95"/>
      <c r="AF54" s="96"/>
      <c r="AG54" s="97"/>
      <c r="AH54" s="97"/>
      <c r="AI54" s="96"/>
      <c r="AJ54" s="98"/>
      <c r="AK54" s="125"/>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row>
    <row r="55" spans="1:67" ht="195" hidden="1" customHeight="1" x14ac:dyDescent="0.3">
      <c r="A55" s="247"/>
      <c r="B55" s="110"/>
      <c r="C55" s="110"/>
      <c r="D55" s="110"/>
      <c r="E55" s="111"/>
      <c r="F55" s="110"/>
      <c r="G55" s="120">
        <v>2</v>
      </c>
      <c r="H55" s="117" t="str">
        <f t="shared" si="40"/>
        <v>Muy Baja</v>
      </c>
      <c r="I55" s="118">
        <f t="shared" si="41"/>
        <v>0.2</v>
      </c>
      <c r="J55" s="119" t="s">
        <v>150</v>
      </c>
      <c r="K55" s="112" t="str">
        <f ca="1">IF(NOT(ISERROR(MATCH(J55,_xlfn.ANCHORARRAY(E66),0))),I68&amp;"Por favor no seleccionar los criterios de impacto",J55)</f>
        <v xml:space="preserve">     Mayor a 500 SMLMV </v>
      </c>
      <c r="L55" s="107" t="str">
        <f ca="1">IF(OR(K55='Tabla Impacto'!$C$11,K55='Tabla Impacto'!$D$11),"Leve",IF(OR(K55='Tabla Impacto'!$C$12,K55='Tabla Impacto'!$D$12),"Menor",IF(OR(K55='Tabla Impacto'!$C$13,K55='Tabla Impacto'!$D$13),"Moderado",IF(OR(K55='Tabla Impacto'!$C$14,K55='Tabla Impacto'!$D$14),"Mayor",IF(OR(K55='Tabla Impacto'!$C$15,K55='Tabla Impacto'!$D$15),"Catastrófico","")))))</f>
        <v>Catastrófico</v>
      </c>
      <c r="M55" s="118">
        <f t="shared" ca="1" si="38"/>
        <v>1</v>
      </c>
      <c r="N55" s="109" t="str">
        <f t="shared" ca="1" si="39"/>
        <v>Extremo</v>
      </c>
      <c r="O55" s="89">
        <v>3</v>
      </c>
      <c r="P55" s="99"/>
      <c r="Q55" s="91" t="str">
        <f>IF(OR(R55="Preventivo",R55="Detectivo"),"Probabilidad",IF(R55="Correctivo","Impacto",""))</f>
        <v/>
      </c>
      <c r="R55" s="92"/>
      <c r="S55" s="92"/>
      <c r="T55" s="93" t="str">
        <f t="shared" si="42"/>
        <v/>
      </c>
      <c r="U55" s="92"/>
      <c r="V55" s="92"/>
      <c r="W55" s="92"/>
      <c r="X55" s="94" t="str">
        <f>IFERROR(IF(AND(Q54="Probabilidad",Q55="Probabilidad"),(Z54-(+Z54*T55)),IF(AND(Q54="Impacto",Q55="Probabilidad"),(Z53-(+Z53*T55)),IF(Q55="Impacto",Z54,""))),"")</f>
        <v/>
      </c>
      <c r="Y55" s="87" t="str">
        <f t="shared" si="43"/>
        <v/>
      </c>
      <c r="Z55" s="93" t="str">
        <f t="shared" si="44"/>
        <v/>
      </c>
      <c r="AA55" s="87" t="str">
        <f t="shared" si="45"/>
        <v/>
      </c>
      <c r="AB55" s="93" t="str">
        <f>IFERROR(IF(AND(Q54="Impacto",Q55="Impacto"),(AB54-(+AB54*T55)),IF(AND(Q54="Probabilidad",Q55="Impacto"),(AB53-(+AB53*T55)),IF(Q55="Probabilidad",AB54,""))),"")</f>
        <v/>
      </c>
      <c r="AC55" s="88" t="str">
        <f t="shared" si="46"/>
        <v/>
      </c>
      <c r="AD55" s="92"/>
      <c r="AE55" s="95"/>
      <c r="AF55" s="96"/>
      <c r="AG55" s="97"/>
      <c r="AH55" s="97"/>
      <c r="AI55" s="96"/>
      <c r="AJ55" s="98"/>
      <c r="AK55" s="125"/>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row>
    <row r="56" spans="1:67" ht="195" hidden="1" customHeight="1" x14ac:dyDescent="0.3">
      <c r="A56" s="247"/>
      <c r="B56" s="110"/>
      <c r="C56" s="110"/>
      <c r="D56" s="110"/>
      <c r="E56" s="111"/>
      <c r="F56" s="110"/>
      <c r="G56" s="120">
        <v>1</v>
      </c>
      <c r="H56" s="117" t="str">
        <f t="shared" si="40"/>
        <v>Muy Baja</v>
      </c>
      <c r="I56" s="118">
        <f t="shared" si="41"/>
        <v>0.2</v>
      </c>
      <c r="J56" s="119" t="s">
        <v>150</v>
      </c>
      <c r="K56" s="112" t="str">
        <f ca="1">IF(NOT(ISERROR(MATCH(J56,_xlfn.ANCHORARRAY(E67),0))),I69&amp;"Por favor no seleccionar los criterios de impacto",J56)</f>
        <v xml:space="preserve">     Mayor a 500 SMLMV </v>
      </c>
      <c r="L56" s="107" t="str">
        <f ca="1">IF(OR(K56='Tabla Impacto'!$C$11,K56='Tabla Impacto'!$D$11),"Leve",IF(OR(K56='Tabla Impacto'!$C$12,K56='Tabla Impacto'!$D$12),"Menor",IF(OR(K56='Tabla Impacto'!$C$13,K56='Tabla Impacto'!$D$13),"Moderado",IF(OR(K56='Tabla Impacto'!$C$14,K56='Tabla Impacto'!$D$14),"Mayor",IF(OR(K56='Tabla Impacto'!$C$15,K56='Tabla Impacto'!$D$15),"Catastrófico","")))))</f>
        <v>Catastrófico</v>
      </c>
      <c r="M56" s="118">
        <f t="shared" ca="1" si="38"/>
        <v>1</v>
      </c>
      <c r="N56" s="109" t="str">
        <f t="shared" ca="1" si="39"/>
        <v>Extremo</v>
      </c>
      <c r="O56" s="89">
        <v>4</v>
      </c>
      <c r="P56" s="90"/>
      <c r="Q56" s="91" t="str">
        <f t="shared" ref="Q56:Q58" si="47">IF(OR(R56="Preventivo",R56="Detectivo"),"Probabilidad",IF(R56="Correctivo","Impacto",""))</f>
        <v/>
      </c>
      <c r="R56" s="92"/>
      <c r="S56" s="92"/>
      <c r="T56" s="93" t="str">
        <f t="shared" si="42"/>
        <v/>
      </c>
      <c r="U56" s="92"/>
      <c r="V56" s="92"/>
      <c r="W56" s="92"/>
      <c r="X56" s="94" t="str">
        <f t="shared" ref="X56:X58" si="48">IFERROR(IF(AND(Q55="Probabilidad",Q56="Probabilidad"),(Z55-(+Z55*T56)),IF(AND(Q55="Impacto",Q56="Probabilidad"),(Z54-(+Z54*T56)),IF(Q56="Impacto",Z55,""))),"")</f>
        <v/>
      </c>
      <c r="Y56" s="87" t="str">
        <f t="shared" si="43"/>
        <v/>
      </c>
      <c r="Z56" s="93" t="str">
        <f t="shared" si="44"/>
        <v/>
      </c>
      <c r="AA56" s="87" t="str">
        <f t="shared" si="45"/>
        <v/>
      </c>
      <c r="AB56" s="93" t="str">
        <f t="shared" ref="AB56:AB58" si="49">IFERROR(IF(AND(Q55="Impacto",Q56="Impacto"),(AB55-(+AB55*T56)),IF(AND(Q55="Probabilidad",Q56="Impacto"),(AB54-(+AB54*T56)),IF(Q56="Probabilidad",AB55,""))),"")</f>
        <v/>
      </c>
      <c r="AC56" s="88"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92"/>
      <c r="AE56" s="95"/>
      <c r="AF56" s="96"/>
      <c r="AG56" s="97"/>
      <c r="AH56" s="97"/>
      <c r="AI56" s="96"/>
      <c r="AJ56" s="98"/>
      <c r="AK56" s="125"/>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row>
    <row r="57" spans="1:67" ht="195" hidden="1" customHeight="1" x14ac:dyDescent="0.3">
      <c r="A57" s="247"/>
      <c r="B57" s="110"/>
      <c r="C57" s="110"/>
      <c r="D57" s="110"/>
      <c r="E57" s="111"/>
      <c r="F57" s="110"/>
      <c r="G57" s="120">
        <v>3</v>
      </c>
      <c r="H57" s="117" t="str">
        <f t="shared" si="40"/>
        <v>Baja</v>
      </c>
      <c r="I57" s="118">
        <f t="shared" si="41"/>
        <v>0.4</v>
      </c>
      <c r="J57" s="119" t="s">
        <v>150</v>
      </c>
      <c r="K57" s="112" t="str">
        <f ca="1">IF(NOT(ISERROR(MATCH(J57,_xlfn.ANCHORARRAY(E68),0))),I70&amp;"Por favor no seleccionar los criterios de impacto",J57)</f>
        <v xml:space="preserve">     Mayor a 500 SMLMV </v>
      </c>
      <c r="L57" s="107" t="str">
        <f ca="1">IF(OR(K57='Tabla Impacto'!$C$11,K57='Tabla Impacto'!$D$11),"Leve",IF(OR(K57='Tabla Impacto'!$C$12,K57='Tabla Impacto'!$D$12),"Menor",IF(OR(K57='Tabla Impacto'!$C$13,K57='Tabla Impacto'!$D$13),"Moderado",IF(OR(K57='Tabla Impacto'!$C$14,K57='Tabla Impacto'!$D$14),"Mayor",IF(OR(K57='Tabla Impacto'!$C$15,K57='Tabla Impacto'!$D$15),"Catastrófico","")))))</f>
        <v>Catastrófico</v>
      </c>
      <c r="M57" s="118">
        <f t="shared" ca="1" si="38"/>
        <v>1</v>
      </c>
      <c r="N57" s="109" t="str">
        <f t="shared" ca="1" si="39"/>
        <v>Extremo</v>
      </c>
      <c r="O57" s="89">
        <v>5</v>
      </c>
      <c r="P57" s="90"/>
      <c r="Q57" s="91" t="str">
        <f t="shared" si="47"/>
        <v/>
      </c>
      <c r="R57" s="92"/>
      <c r="S57" s="92"/>
      <c r="T57" s="93" t="str">
        <f t="shared" si="42"/>
        <v/>
      </c>
      <c r="U57" s="92"/>
      <c r="V57" s="92"/>
      <c r="W57" s="92"/>
      <c r="X57" s="94" t="str">
        <f t="shared" si="48"/>
        <v/>
      </c>
      <c r="Y57" s="87" t="str">
        <f t="shared" si="43"/>
        <v/>
      </c>
      <c r="Z57" s="93" t="str">
        <f t="shared" si="44"/>
        <v/>
      </c>
      <c r="AA57" s="87" t="str">
        <f t="shared" si="45"/>
        <v/>
      </c>
      <c r="AB57" s="93" t="str">
        <f t="shared" si="49"/>
        <v/>
      </c>
      <c r="AC57" s="88" t="str">
        <f t="shared" ref="AC57:AC58" si="50">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92"/>
      <c r="AE57" s="95"/>
      <c r="AF57" s="96"/>
      <c r="AG57" s="97"/>
      <c r="AH57" s="97"/>
      <c r="AI57" s="96"/>
      <c r="AJ57" s="98"/>
      <c r="AK57" s="125"/>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row>
    <row r="58" spans="1:67" ht="195" hidden="1" customHeight="1" x14ac:dyDescent="0.3">
      <c r="A58" s="247"/>
      <c r="B58" s="113"/>
      <c r="C58" s="113"/>
      <c r="D58" s="113"/>
      <c r="E58" s="114"/>
      <c r="F58" s="113"/>
      <c r="G58" s="121">
        <v>89</v>
      </c>
      <c r="H58" s="117" t="str">
        <f t="shared" si="40"/>
        <v>Media</v>
      </c>
      <c r="I58" s="118">
        <f t="shared" si="41"/>
        <v>0.6</v>
      </c>
      <c r="J58" s="119" t="s">
        <v>150</v>
      </c>
      <c r="K58" s="115" t="str">
        <f ca="1">IF(NOT(ISERROR(MATCH(J58,_xlfn.ANCHORARRAY(E69),0))),I71&amp;"Por favor no seleccionar los criterios de impacto",J58)</f>
        <v xml:space="preserve">     Mayor a 500 SMLMV </v>
      </c>
      <c r="L58" s="107" t="str">
        <f ca="1">IF(OR(K58='Tabla Impacto'!$C$11,K58='Tabla Impacto'!$D$11),"Leve",IF(OR(K58='Tabla Impacto'!$C$12,K58='Tabla Impacto'!$D$12),"Menor",IF(OR(K58='Tabla Impacto'!$C$13,K58='Tabla Impacto'!$D$13),"Moderado",IF(OR(K58='Tabla Impacto'!$C$14,K58='Tabla Impacto'!$D$14),"Mayor",IF(OR(K58='Tabla Impacto'!$C$15,K58='Tabla Impacto'!$D$15),"Catastrófico","")))))</f>
        <v>Catastrófico</v>
      </c>
      <c r="M58" s="118">
        <f t="shared" ca="1" si="38"/>
        <v>1</v>
      </c>
      <c r="N58" s="109" t="str">
        <f t="shared" ca="1" si="39"/>
        <v>Extremo</v>
      </c>
      <c r="O58" s="89">
        <v>6</v>
      </c>
      <c r="P58" s="90"/>
      <c r="Q58" s="91" t="str">
        <f t="shared" si="47"/>
        <v/>
      </c>
      <c r="R58" s="92"/>
      <c r="S58" s="92"/>
      <c r="T58" s="93" t="str">
        <f t="shared" si="42"/>
        <v/>
      </c>
      <c r="U58" s="92"/>
      <c r="V58" s="92"/>
      <c r="W58" s="92"/>
      <c r="X58" s="94" t="str">
        <f t="shared" si="48"/>
        <v/>
      </c>
      <c r="Y58" s="87" t="str">
        <f t="shared" si="43"/>
        <v/>
      </c>
      <c r="Z58" s="93" t="str">
        <f t="shared" si="44"/>
        <v/>
      </c>
      <c r="AA58" s="87" t="str">
        <f t="shared" si="45"/>
        <v/>
      </c>
      <c r="AB58" s="93" t="str">
        <f t="shared" si="49"/>
        <v/>
      </c>
      <c r="AC58" s="88" t="str">
        <f t="shared" si="50"/>
        <v/>
      </c>
      <c r="AD58" s="92"/>
      <c r="AE58" s="95"/>
      <c r="AF58" s="96"/>
      <c r="AG58" s="97"/>
      <c r="AH58" s="97"/>
      <c r="AI58" s="96"/>
      <c r="AJ58" s="98"/>
      <c r="AK58" s="125"/>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row>
    <row r="59" spans="1:67" ht="195" hidden="1" customHeight="1" x14ac:dyDescent="0.3">
      <c r="A59" s="247">
        <v>9</v>
      </c>
      <c r="B59" s="105"/>
      <c r="C59" s="105"/>
      <c r="D59" s="105"/>
      <c r="E59" s="106"/>
      <c r="F59" s="105"/>
      <c r="G59" s="116">
        <v>454</v>
      </c>
      <c r="H59" s="117" t="str">
        <f>IF(G59&lt;=0,"",IF(G59&lt;=2,"Muy Baja",IF(G59&lt;=24,"Baja",IF(G59&lt;=500,"Media",IF(G59&lt;=5000,"Alta","Muy Alta")))))</f>
        <v>Media</v>
      </c>
      <c r="I59" s="118">
        <f>IF(H59="","",IF(H59="Muy Baja",0.2,IF(H59="Baja",0.4,IF(H59="Media",0.6,IF(H59="Alta",0.8,IF(H59="Muy Alta",1,))))))</f>
        <v>0.6</v>
      </c>
      <c r="J59" s="119" t="s">
        <v>150</v>
      </c>
      <c r="K59" s="108" t="str">
        <f ca="1">IF(NOT(ISERROR(MATCH(J59,'Tabla Impacto'!$B$221:$B$223,0))),'Tabla Impacto'!$F$223&amp;"Por favor no seleccionar los criterios de impacto(Afectación Económica o presupuestal y Pérdida Reputacional)",J59)</f>
        <v xml:space="preserve">     Mayor a 500 SMLMV </v>
      </c>
      <c r="L59" s="107" t="str">
        <f ca="1">IF(OR(K59='Tabla Impacto'!$C$11,K59='Tabla Impacto'!$D$11),"Leve",IF(OR(K59='Tabla Impacto'!$C$12,K59='Tabla Impacto'!$D$12),"Menor",IF(OR(K59='Tabla Impacto'!$C$13,K59='Tabla Impacto'!$D$13),"Moderado",IF(OR(K59='Tabla Impacto'!$C$14,K59='Tabla Impacto'!$D$14),"Mayor",IF(OR(K59='Tabla Impacto'!$C$15,K59='Tabla Impacto'!$D$15),"Catastrófico","")))))</f>
        <v>Catastrófico</v>
      </c>
      <c r="M59" s="118">
        <f t="shared" ca="1" si="38"/>
        <v>1</v>
      </c>
      <c r="N59" s="109" t="str">
        <f t="shared" ca="1" si="39"/>
        <v>Extremo</v>
      </c>
      <c r="O59" s="89">
        <v>1</v>
      </c>
      <c r="P59" s="90"/>
      <c r="Q59" s="91" t="str">
        <f>IF(OR(R59="Preventivo",R59="Detectivo"),"Probabilidad",IF(R59="Correctivo","Impacto",""))</f>
        <v/>
      </c>
      <c r="R59" s="92"/>
      <c r="S59" s="92"/>
      <c r="T59" s="93" t="str">
        <f>IF(AND(R59="Preventivo",S59="Automático"),"50%",IF(AND(R59="Preventivo",S59="Manual"),"40%",IF(AND(R59="Detectivo",S59="Automático"),"40%",IF(AND(R59="Detectivo",S59="Manual"),"30%",IF(AND(R59="Correctivo",S59="Automático"),"35%",IF(AND(R59="Correctivo",S59="Manual"),"25%",""))))))</f>
        <v/>
      </c>
      <c r="U59" s="92"/>
      <c r="V59" s="92"/>
      <c r="W59" s="92"/>
      <c r="X59" s="94" t="str">
        <f>IFERROR(IF(Q59="Probabilidad",(I59-(+I59*T59)),IF(Q59="Impacto",I59,"")),"")</f>
        <v/>
      </c>
      <c r="Y59" s="87" t="str">
        <f>IFERROR(IF(X59="","",IF(X59&lt;=0.2,"Muy Baja",IF(X59&lt;=0.4,"Baja",IF(X59&lt;=0.6,"Media",IF(X59&lt;=0.8,"Alta","Muy Alta"))))),"")</f>
        <v/>
      </c>
      <c r="Z59" s="93" t="str">
        <f>+X59</f>
        <v/>
      </c>
      <c r="AA59" s="87" t="str">
        <f>IFERROR(IF(AB59="","",IF(AB59&lt;=0.2,"Leve",IF(AB59&lt;=0.4,"Menor",IF(AB59&lt;=0.6,"Moderado",IF(AB59&lt;=0.8,"Mayor","Catastrófico"))))),"")</f>
        <v/>
      </c>
      <c r="AB59" s="93" t="str">
        <f>IFERROR(IF(Q59="Impacto",(M59-(+M59*T59)),IF(Q59="Probabilidad",M59,"")),"")</f>
        <v/>
      </c>
      <c r="AC59" s="88" t="str">
        <f>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92"/>
      <c r="AE59" s="95"/>
      <c r="AF59" s="96"/>
      <c r="AG59" s="97"/>
      <c r="AH59" s="97"/>
      <c r="AI59" s="96"/>
      <c r="AJ59" s="98"/>
      <c r="AK59" s="125"/>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row>
    <row r="60" spans="1:67" ht="195" hidden="1" customHeight="1" x14ac:dyDescent="0.3">
      <c r="A60" s="247"/>
      <c r="B60" s="110"/>
      <c r="C60" s="110"/>
      <c r="D60" s="110"/>
      <c r="E60" s="111"/>
      <c r="F60" s="110"/>
      <c r="G60" s="120">
        <v>4545</v>
      </c>
      <c r="H60" s="117" t="str">
        <f t="shared" ref="H60:H64" si="51">IF(G60&lt;=0,"",IF(G60&lt;=2,"Muy Baja",IF(G60&lt;=24,"Baja",IF(G60&lt;=500,"Media",IF(G60&lt;=5000,"Alta","Muy Alta")))))</f>
        <v>Alta</v>
      </c>
      <c r="I60" s="118">
        <f t="shared" ref="I60:I64" si="52">IF(H60="","",IF(H60="Muy Baja",0.2,IF(H60="Baja",0.4,IF(H60="Media",0.6,IF(H60="Alta",0.8,IF(H60="Muy Alta",1,))))))</f>
        <v>0.8</v>
      </c>
      <c r="J60" s="119" t="s">
        <v>150</v>
      </c>
      <c r="K60" s="112" t="str">
        <f ca="1">IF(NOT(ISERROR(MATCH(J60,_xlfn.ANCHORARRAY(E71),0))),I73&amp;"Por favor no seleccionar los criterios de impacto",J60)</f>
        <v xml:space="preserve">     Mayor a 500 SMLMV </v>
      </c>
      <c r="L60" s="107" t="str">
        <f ca="1">IF(OR(K60='Tabla Impacto'!$C$11,K60='Tabla Impacto'!$D$11),"Leve",IF(OR(K60='Tabla Impacto'!$C$12,K60='Tabla Impacto'!$D$12),"Menor",IF(OR(K60='Tabla Impacto'!$C$13,K60='Tabla Impacto'!$D$13),"Moderado",IF(OR(K60='Tabla Impacto'!$C$14,K60='Tabla Impacto'!$D$14),"Mayor",IF(OR(K60='Tabla Impacto'!$C$15,K60='Tabla Impacto'!$D$15),"Catastrófico","")))))</f>
        <v>Catastrófico</v>
      </c>
      <c r="M60" s="126"/>
      <c r="N60" s="109" t="str">
        <f t="shared" ca="1" si="39"/>
        <v>Extremo</v>
      </c>
      <c r="O60" s="89">
        <v>2</v>
      </c>
      <c r="P60" s="90"/>
      <c r="Q60" s="91" t="str">
        <f>IF(OR(R60="Preventivo",R60="Detectivo"),"Probabilidad",IF(R60="Correctivo","Impacto",""))</f>
        <v/>
      </c>
      <c r="R60" s="92"/>
      <c r="S60" s="92"/>
      <c r="T60" s="93" t="str">
        <f t="shared" ref="T60:T64" si="53">IF(AND(R60="Preventivo",S60="Automático"),"50%",IF(AND(R60="Preventivo",S60="Manual"),"40%",IF(AND(R60="Detectivo",S60="Automático"),"40%",IF(AND(R60="Detectivo",S60="Manual"),"30%",IF(AND(R60="Correctivo",S60="Automático"),"35%",IF(AND(R60="Correctivo",S60="Manual"),"25%",""))))))</f>
        <v/>
      </c>
      <c r="U60" s="92"/>
      <c r="V60" s="92"/>
      <c r="W60" s="92"/>
      <c r="X60" s="94" t="str">
        <f>IFERROR(IF(AND(Q59="Probabilidad",Q60="Probabilidad"),(Z59-(+Z59*T60)),IF(Q60="Probabilidad",(I59-(+I59*T60)),IF(Q60="Impacto",Z59,""))),"")</f>
        <v/>
      </c>
      <c r="Y60" s="87" t="str">
        <f t="shared" si="43"/>
        <v/>
      </c>
      <c r="Z60" s="93" t="str">
        <f t="shared" ref="Z60:Z64" si="54">+X60</f>
        <v/>
      </c>
      <c r="AA60" s="87" t="str">
        <f t="shared" si="45"/>
        <v/>
      </c>
      <c r="AB60" s="93" t="str">
        <f>IFERROR(IF(AND(Q59="Impacto",Q60="Impacto"),(AB53-(+AB53*T60)),IF(Q60="Impacto",($M$59-(+$M$59*T60)),IF(Q60="Probabilidad",AB53,""))),"")</f>
        <v/>
      </c>
      <c r="AC60" s="88" t="str">
        <f t="shared" ref="AC60:AC61" si="55">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92"/>
      <c r="AE60" s="95"/>
      <c r="AF60" s="96"/>
      <c r="AG60" s="97"/>
      <c r="AH60" s="97"/>
      <c r="AI60" s="96"/>
      <c r="AJ60" s="100"/>
      <c r="AK60" s="125"/>
    </row>
    <row r="61" spans="1:67" ht="195" hidden="1" customHeight="1" x14ac:dyDescent="0.3">
      <c r="A61" s="247"/>
      <c r="B61" s="110"/>
      <c r="C61" s="110"/>
      <c r="D61" s="110"/>
      <c r="E61" s="111"/>
      <c r="F61" s="110"/>
      <c r="G61" s="120">
        <v>451</v>
      </c>
      <c r="H61" s="117" t="str">
        <f t="shared" si="51"/>
        <v>Media</v>
      </c>
      <c r="I61" s="118">
        <f t="shared" si="52"/>
        <v>0.6</v>
      </c>
      <c r="J61" s="119" t="s">
        <v>150</v>
      </c>
      <c r="K61" s="112" t="str">
        <f ca="1">IF(NOT(ISERROR(MATCH(J61,_xlfn.ANCHORARRAY(E72),0))),I74&amp;"Por favor no seleccionar los criterios de impacto",J61)</f>
        <v xml:space="preserve">     Mayor a 500 SMLMV </v>
      </c>
      <c r="L61" s="107" t="str">
        <f ca="1">IF(OR(K61='Tabla Impacto'!$C$11,K61='Tabla Impacto'!$D$11),"Leve",IF(OR(K61='Tabla Impacto'!$C$12,K61='Tabla Impacto'!$D$12),"Menor",IF(OR(K61='Tabla Impacto'!$C$13,K61='Tabla Impacto'!$D$13),"Moderado",IF(OR(K61='Tabla Impacto'!$C$14,K61='Tabla Impacto'!$D$14),"Mayor",IF(OR(K61='Tabla Impacto'!$C$15,K61='Tabla Impacto'!$D$15),"Catastrófico","")))))</f>
        <v>Catastrófico</v>
      </c>
      <c r="M61" s="126"/>
      <c r="N61" s="109" t="str">
        <f t="shared" ca="1" si="39"/>
        <v>Extremo</v>
      </c>
      <c r="O61" s="89">
        <v>3</v>
      </c>
      <c r="P61" s="99"/>
      <c r="Q61" s="91" t="str">
        <f>IF(OR(R61="Preventivo",R61="Detectivo"),"Probabilidad",IF(R61="Correctivo","Impacto",""))</f>
        <v/>
      </c>
      <c r="R61" s="92"/>
      <c r="S61" s="92"/>
      <c r="T61" s="93" t="str">
        <f t="shared" si="53"/>
        <v/>
      </c>
      <c r="U61" s="92"/>
      <c r="V61" s="92"/>
      <c r="W61" s="92"/>
      <c r="X61" s="94" t="str">
        <f>IFERROR(IF(AND(Q60="Probabilidad",Q61="Probabilidad"),(Z60-(+Z60*T61)),IF(AND(Q60="Impacto",Q61="Probabilidad"),(Z59-(+Z59*T61)),IF(Q61="Impacto",Z60,""))),"")</f>
        <v/>
      </c>
      <c r="Y61" s="87" t="str">
        <f t="shared" si="43"/>
        <v/>
      </c>
      <c r="Z61" s="93" t="str">
        <f t="shared" si="54"/>
        <v/>
      </c>
      <c r="AA61" s="87" t="str">
        <f t="shared" si="45"/>
        <v/>
      </c>
      <c r="AB61" s="93" t="str">
        <f>IFERROR(IF(AND(Q60="Impacto",Q61="Impacto"),(AB60-(+AB60*T61)),IF(AND(Q60="Probabilidad",Q61="Impacto"),(AB59-(+AB59*T61)),IF(Q61="Probabilidad",AB60,""))),"")</f>
        <v/>
      </c>
      <c r="AC61" s="88" t="str">
        <f t="shared" si="55"/>
        <v/>
      </c>
      <c r="AD61" s="92"/>
      <c r="AE61" s="95"/>
      <c r="AF61" s="96"/>
      <c r="AG61" s="97"/>
      <c r="AH61" s="97"/>
      <c r="AI61" s="96"/>
      <c r="AJ61" s="100"/>
      <c r="AK61" s="125"/>
    </row>
    <row r="62" spans="1:67" ht="195" hidden="1" customHeight="1" x14ac:dyDescent="0.3">
      <c r="A62" s="247"/>
      <c r="B62" s="110"/>
      <c r="C62" s="110"/>
      <c r="D62" s="110"/>
      <c r="E62" s="111"/>
      <c r="F62" s="110"/>
      <c r="G62" s="120">
        <v>4545</v>
      </c>
      <c r="H62" s="117" t="str">
        <f t="shared" si="51"/>
        <v>Alta</v>
      </c>
      <c r="I62" s="118">
        <f t="shared" si="52"/>
        <v>0.8</v>
      </c>
      <c r="J62" s="119" t="s">
        <v>150</v>
      </c>
      <c r="K62" s="112" t="str">
        <f ca="1">IF(NOT(ISERROR(MATCH(J62,_xlfn.ANCHORARRAY(E73),0))),I75&amp;"Por favor no seleccionar los criterios de impacto",J62)</f>
        <v xml:space="preserve">     Mayor a 500 SMLMV </v>
      </c>
      <c r="L62" s="107" t="str">
        <f ca="1">IF(OR(K62='Tabla Impacto'!$C$11,K62='Tabla Impacto'!$D$11),"Leve",IF(OR(K62='Tabla Impacto'!$C$12,K62='Tabla Impacto'!$D$12),"Menor",IF(OR(K62='Tabla Impacto'!$C$13,K62='Tabla Impacto'!$D$13),"Moderado",IF(OR(K62='Tabla Impacto'!$C$14,K62='Tabla Impacto'!$D$14),"Mayor",IF(OR(K62='Tabla Impacto'!$C$15,K62='Tabla Impacto'!$D$15),"Catastrófico","")))))</f>
        <v>Catastrófico</v>
      </c>
      <c r="M62" s="126"/>
      <c r="N62" s="109" t="str">
        <f t="shared" ca="1" si="39"/>
        <v>Extremo</v>
      </c>
      <c r="O62" s="89">
        <v>4</v>
      </c>
      <c r="P62" s="90"/>
      <c r="Q62" s="91" t="str">
        <f t="shared" ref="Q62:Q64" si="56">IF(OR(R62="Preventivo",R62="Detectivo"),"Probabilidad",IF(R62="Correctivo","Impacto",""))</f>
        <v/>
      </c>
      <c r="R62" s="92"/>
      <c r="S62" s="92"/>
      <c r="T62" s="93" t="str">
        <f t="shared" si="53"/>
        <v/>
      </c>
      <c r="U62" s="92"/>
      <c r="V62" s="92"/>
      <c r="W62" s="92"/>
      <c r="X62" s="94" t="str">
        <f t="shared" ref="X62:X64" si="57">IFERROR(IF(AND(Q61="Probabilidad",Q62="Probabilidad"),(Z61-(+Z61*T62)),IF(AND(Q61="Impacto",Q62="Probabilidad"),(Z60-(+Z60*T62)),IF(Q62="Impacto",Z61,""))),"")</f>
        <v/>
      </c>
      <c r="Y62" s="87" t="str">
        <f t="shared" si="43"/>
        <v/>
      </c>
      <c r="Z62" s="93" t="str">
        <f t="shared" si="54"/>
        <v/>
      </c>
      <c r="AA62" s="87" t="str">
        <f t="shared" si="45"/>
        <v/>
      </c>
      <c r="AB62" s="93" t="str">
        <f t="shared" ref="AB62:AB64" si="58">IFERROR(IF(AND(Q61="Impacto",Q62="Impacto"),(AB61-(+AB61*T62)),IF(AND(Q61="Probabilidad",Q62="Impacto"),(AB60-(+AB60*T62)),IF(Q62="Probabilidad",AB61,""))),"")</f>
        <v/>
      </c>
      <c r="AC62" s="88" t="str">
        <f>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92"/>
      <c r="AE62" s="95"/>
      <c r="AF62" s="96"/>
      <c r="AG62" s="97"/>
      <c r="AH62" s="97"/>
      <c r="AI62" s="96"/>
      <c r="AJ62" s="100"/>
      <c r="AK62" s="125"/>
    </row>
    <row r="63" spans="1:67" ht="195" hidden="1" customHeight="1" x14ac:dyDescent="0.3">
      <c r="A63" s="247"/>
      <c r="B63" s="110"/>
      <c r="C63" s="110"/>
      <c r="D63" s="110"/>
      <c r="E63" s="111"/>
      <c r="F63" s="110"/>
      <c r="G63" s="120">
        <v>45</v>
      </c>
      <c r="H63" s="117" t="str">
        <f t="shared" si="51"/>
        <v>Media</v>
      </c>
      <c r="I63" s="118">
        <f t="shared" si="52"/>
        <v>0.6</v>
      </c>
      <c r="J63" s="119" t="s">
        <v>150</v>
      </c>
      <c r="K63" s="112" t="str">
        <f ca="1">IF(NOT(ISERROR(MATCH(J63,_xlfn.ANCHORARRAY(E74),0))),I76&amp;"Por favor no seleccionar los criterios de impacto",J63)</f>
        <v xml:space="preserve">     Mayor a 500 SMLMV </v>
      </c>
      <c r="L63" s="107" t="str">
        <f ca="1">IF(OR(K63='Tabla Impacto'!$C$11,K63='Tabla Impacto'!$D$11),"Leve",IF(OR(K63='Tabla Impacto'!$C$12,K63='Tabla Impacto'!$D$12),"Menor",IF(OR(K63='Tabla Impacto'!$C$13,K63='Tabla Impacto'!$D$13),"Moderado",IF(OR(K63='Tabla Impacto'!$C$14,K63='Tabla Impacto'!$D$14),"Mayor",IF(OR(K63='Tabla Impacto'!$C$15,K63='Tabla Impacto'!$D$15),"Catastrófico","")))))</f>
        <v>Catastrófico</v>
      </c>
      <c r="M63" s="126"/>
      <c r="N63" s="109" t="str">
        <f t="shared" ca="1" si="39"/>
        <v>Extremo</v>
      </c>
      <c r="O63" s="89">
        <v>5</v>
      </c>
      <c r="P63" s="90"/>
      <c r="Q63" s="91" t="str">
        <f t="shared" si="56"/>
        <v/>
      </c>
      <c r="R63" s="92"/>
      <c r="S63" s="92"/>
      <c r="T63" s="93" t="str">
        <f t="shared" si="53"/>
        <v/>
      </c>
      <c r="U63" s="92"/>
      <c r="V63" s="92"/>
      <c r="W63" s="92"/>
      <c r="X63" s="94" t="str">
        <f t="shared" si="57"/>
        <v/>
      </c>
      <c r="Y63" s="87" t="str">
        <f t="shared" si="43"/>
        <v/>
      </c>
      <c r="Z63" s="93" t="str">
        <f t="shared" si="54"/>
        <v/>
      </c>
      <c r="AA63" s="87" t="str">
        <f t="shared" si="45"/>
        <v/>
      </c>
      <c r="AB63" s="93" t="str">
        <f t="shared" si="58"/>
        <v/>
      </c>
      <c r="AC63" s="88" t="str">
        <f t="shared" ref="AC63:AC64" si="59">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92"/>
      <c r="AE63" s="95"/>
      <c r="AF63" s="96"/>
      <c r="AG63" s="97"/>
      <c r="AH63" s="97"/>
      <c r="AI63" s="96"/>
      <c r="AJ63" s="100"/>
      <c r="AK63" s="125"/>
    </row>
    <row r="64" spans="1:67" ht="195" hidden="1" customHeight="1" x14ac:dyDescent="0.3">
      <c r="A64" s="247"/>
      <c r="B64" s="113"/>
      <c r="C64" s="113"/>
      <c r="D64" s="113"/>
      <c r="E64" s="114"/>
      <c r="F64" s="113"/>
      <c r="G64" s="121">
        <v>4545</v>
      </c>
      <c r="H64" s="117" t="str">
        <f t="shared" si="51"/>
        <v>Alta</v>
      </c>
      <c r="I64" s="118">
        <f t="shared" si="52"/>
        <v>0.8</v>
      </c>
      <c r="J64" s="119" t="s">
        <v>150</v>
      </c>
      <c r="K64" s="115" t="str">
        <f ca="1">IF(NOT(ISERROR(MATCH(J64,_xlfn.ANCHORARRAY(E75),0))),I77&amp;"Por favor no seleccionar los criterios de impacto",J64)</f>
        <v xml:space="preserve">     Mayor a 500 SMLMV </v>
      </c>
      <c r="L64" s="107" t="str">
        <f ca="1">IF(OR(K64='Tabla Impacto'!$C$11,K64='Tabla Impacto'!$D$11),"Leve",IF(OR(K64='Tabla Impacto'!$C$12,K64='Tabla Impacto'!$D$12),"Menor",IF(OR(K64='Tabla Impacto'!$C$13,K64='Tabla Impacto'!$D$13),"Moderado",IF(OR(K64='Tabla Impacto'!$C$14,K64='Tabla Impacto'!$D$14),"Mayor",IF(OR(K64='Tabla Impacto'!$C$15,K64='Tabla Impacto'!$D$15),"Catastrófico","")))))</f>
        <v>Catastrófico</v>
      </c>
      <c r="M64" s="128"/>
      <c r="N64" s="109" t="str">
        <f t="shared" ca="1" si="39"/>
        <v>Extremo</v>
      </c>
      <c r="O64" s="89">
        <v>6</v>
      </c>
      <c r="P64" s="90"/>
      <c r="Q64" s="91" t="str">
        <f t="shared" si="56"/>
        <v/>
      </c>
      <c r="R64" s="92"/>
      <c r="S64" s="92"/>
      <c r="T64" s="93" t="str">
        <f t="shared" si="53"/>
        <v/>
      </c>
      <c r="U64" s="92"/>
      <c r="V64" s="92"/>
      <c r="W64" s="92"/>
      <c r="X64" s="94" t="str">
        <f t="shared" si="57"/>
        <v/>
      </c>
      <c r="Y64" s="87" t="str">
        <f t="shared" si="43"/>
        <v/>
      </c>
      <c r="Z64" s="93" t="str">
        <f t="shared" si="54"/>
        <v/>
      </c>
      <c r="AA64" s="87" t="str">
        <f t="shared" si="45"/>
        <v/>
      </c>
      <c r="AB64" s="93" t="str">
        <f t="shared" si="58"/>
        <v/>
      </c>
      <c r="AC64" s="88" t="str">
        <f t="shared" si="59"/>
        <v/>
      </c>
      <c r="AD64" s="92"/>
      <c r="AE64" s="95"/>
      <c r="AF64" s="96"/>
      <c r="AG64" s="97"/>
      <c r="AH64" s="97"/>
      <c r="AI64" s="96"/>
      <c r="AJ64" s="100"/>
      <c r="AK64" s="125"/>
    </row>
    <row r="65" spans="1:36" ht="48.75" customHeight="1" x14ac:dyDescent="0.3">
      <c r="A65" s="85"/>
      <c r="B65" s="299" t="s">
        <v>130</v>
      </c>
      <c r="C65" s="299"/>
      <c r="D65" s="299"/>
      <c r="E65" s="299"/>
      <c r="F65" s="299"/>
      <c r="G65" s="299"/>
      <c r="H65" s="299"/>
      <c r="I65" s="299"/>
      <c r="J65" s="299"/>
      <c r="K65" s="299"/>
      <c r="L65" s="299"/>
      <c r="M65" s="299"/>
      <c r="N65" s="299"/>
      <c r="O65" s="299"/>
      <c r="P65" s="299"/>
      <c r="Q65" s="299"/>
      <c r="R65" s="299"/>
      <c r="S65" s="299"/>
      <c r="T65" s="299"/>
      <c r="U65" s="299"/>
      <c r="V65" s="299"/>
      <c r="W65" s="299"/>
      <c r="X65" s="299"/>
      <c r="Y65" s="299"/>
      <c r="Z65" s="299"/>
      <c r="AA65" s="299"/>
      <c r="AB65" s="299"/>
      <c r="AC65" s="299"/>
      <c r="AD65" s="299"/>
      <c r="AE65" s="299"/>
      <c r="AF65" s="299"/>
      <c r="AG65" s="299"/>
      <c r="AH65" s="299"/>
      <c r="AI65" s="299"/>
      <c r="AJ65" s="299"/>
    </row>
    <row r="67" spans="1:36" x14ac:dyDescent="0.3">
      <c r="A67" s="1"/>
      <c r="B67" s="22" t="s">
        <v>142</v>
      </c>
      <c r="C67" s="1"/>
      <c r="D67" s="1"/>
      <c r="F67" s="1"/>
    </row>
  </sheetData>
  <dataConsolidate/>
  <mergeCells count="100">
    <mergeCell ref="K23:K28"/>
    <mergeCell ref="K17:K22"/>
    <mergeCell ref="B65:AJ65"/>
    <mergeCell ref="AJ9:AJ11"/>
    <mergeCell ref="AA10:AA11"/>
    <mergeCell ref="Y10:Y11"/>
    <mergeCell ref="Z10:Z11"/>
    <mergeCell ref="G10:G11"/>
    <mergeCell ref="H10:H11"/>
    <mergeCell ref="I10:I11"/>
    <mergeCell ref="L10:L11"/>
    <mergeCell ref="M10:M11"/>
    <mergeCell ref="B10:B11"/>
    <mergeCell ref="N10:N11"/>
    <mergeCell ref="J10:J11"/>
    <mergeCell ref="K10:K11"/>
    <mergeCell ref="H1:AD2"/>
    <mergeCell ref="H3:AD4"/>
    <mergeCell ref="AK9:AK11"/>
    <mergeCell ref="AI10:AI11"/>
    <mergeCell ref="AH10:AH11"/>
    <mergeCell ref="AG10:AG11"/>
    <mergeCell ref="AF10:AF11"/>
    <mergeCell ref="AE10:AE11"/>
    <mergeCell ref="C6:N6"/>
    <mergeCell ref="O6:Q6"/>
    <mergeCell ref="R6:AE6"/>
    <mergeCell ref="C7:AE7"/>
    <mergeCell ref="C8:AE8"/>
    <mergeCell ref="Q10:Q11"/>
    <mergeCell ref="R10:W10"/>
    <mergeCell ref="D10:D11"/>
    <mergeCell ref="C10:C11"/>
    <mergeCell ref="AD10:AD11"/>
    <mergeCell ref="O10:O11"/>
    <mergeCell ref="AC10:AC11"/>
    <mergeCell ref="AB10:AB11"/>
    <mergeCell ref="X10:X11"/>
    <mergeCell ref="P10:P11"/>
    <mergeCell ref="F10:F11"/>
    <mergeCell ref="E10:E11"/>
    <mergeCell ref="A35:A40"/>
    <mergeCell ref="B35:B40"/>
    <mergeCell ref="C35:C40"/>
    <mergeCell ref="D35:D40"/>
    <mergeCell ref="E35:E40"/>
    <mergeCell ref="F35:F40"/>
    <mergeCell ref="A10:A11"/>
    <mergeCell ref="N47:N52"/>
    <mergeCell ref="G35:G40"/>
    <mergeCell ref="H35:H40"/>
    <mergeCell ref="I35:I40"/>
    <mergeCell ref="A47:A52"/>
    <mergeCell ref="B47:B52"/>
    <mergeCell ref="C47:C52"/>
    <mergeCell ref="D47:D52"/>
    <mergeCell ref="E47:E52"/>
    <mergeCell ref="A41:A46"/>
    <mergeCell ref="B41:B46"/>
    <mergeCell ref="C41:C46"/>
    <mergeCell ref="D41:D46"/>
    <mergeCell ref="E41:E46"/>
    <mergeCell ref="M35:M40"/>
    <mergeCell ref="N35:N40"/>
    <mergeCell ref="J41:J46"/>
    <mergeCell ref="K41:K46"/>
    <mergeCell ref="I47:I52"/>
    <mergeCell ref="J47:J52"/>
    <mergeCell ref="L47:L52"/>
    <mergeCell ref="M47:M52"/>
    <mergeCell ref="L41:L46"/>
    <mergeCell ref="M41:M46"/>
    <mergeCell ref="N41:N46"/>
    <mergeCell ref="J35:J40"/>
    <mergeCell ref="K35:K40"/>
    <mergeCell ref="L35:L40"/>
    <mergeCell ref="F41:F46"/>
    <mergeCell ref="G41:G46"/>
    <mergeCell ref="H41:H46"/>
    <mergeCell ref="I41:I46"/>
    <mergeCell ref="K47:K52"/>
    <mergeCell ref="G47:G52"/>
    <mergeCell ref="H47:H52"/>
    <mergeCell ref="F47:F52"/>
    <mergeCell ref="AL9:AL11"/>
    <mergeCell ref="A53:A58"/>
    <mergeCell ref="A59:A64"/>
    <mergeCell ref="AE1:AJ1"/>
    <mergeCell ref="AE2:AJ2"/>
    <mergeCell ref="AE3:AJ3"/>
    <mergeCell ref="AE4:AJ4"/>
    <mergeCell ref="A9:G9"/>
    <mergeCell ref="H9:N9"/>
    <mergeCell ref="O9:W9"/>
    <mergeCell ref="X9:AD9"/>
    <mergeCell ref="AE9:AI9"/>
    <mergeCell ref="A1:G4"/>
    <mergeCell ref="A6:B6"/>
    <mergeCell ref="A7:B7"/>
    <mergeCell ref="A8:B8"/>
  </mergeCells>
  <conditionalFormatting sqref="Y12:Y52">
    <cfRule type="cellIs" dxfId="124" priority="358" operator="equal">
      <formula>"Muy Alta"</formula>
    </cfRule>
    <cfRule type="cellIs" dxfId="123" priority="359" operator="equal">
      <formula>"Alta"</formula>
    </cfRule>
    <cfRule type="cellIs" dxfId="122" priority="360" operator="equal">
      <formula>"Media"</formula>
    </cfRule>
    <cfRule type="cellIs" dxfId="121" priority="361" operator="equal">
      <formula>"Baja"</formula>
    </cfRule>
    <cfRule type="cellIs" dxfId="120" priority="362" operator="equal">
      <formula>"Muy Baja"</formula>
    </cfRule>
  </conditionalFormatting>
  <conditionalFormatting sqref="L41 L47 L53:L64 L23:L35 AA12:AA52">
    <cfRule type="cellIs" dxfId="119" priority="353" operator="equal">
      <formula>"Catastrófico"</formula>
    </cfRule>
    <cfRule type="cellIs" dxfId="118" priority="354" operator="equal">
      <formula>"Mayor"</formula>
    </cfRule>
    <cfRule type="cellIs" dxfId="117" priority="355" operator="equal">
      <formula>"Moderado"</formula>
    </cfRule>
    <cfRule type="cellIs" dxfId="116" priority="356" operator="equal">
      <formula>"Menor"</formula>
    </cfRule>
    <cfRule type="cellIs" dxfId="115" priority="357" operator="equal">
      <formula>"Leve"</formula>
    </cfRule>
  </conditionalFormatting>
  <conditionalFormatting sqref="AC12:AC52">
    <cfRule type="cellIs" dxfId="114" priority="320" operator="equal">
      <formula>"Extremo"</formula>
    </cfRule>
    <cfRule type="cellIs" dxfId="113" priority="321" operator="equal">
      <formula>"Alto"</formula>
    </cfRule>
    <cfRule type="cellIs" dxfId="112" priority="322" operator="equal">
      <formula>"Moderado"</formula>
    </cfRule>
    <cfRule type="cellIs" dxfId="111" priority="323" operator="equal">
      <formula>"Bajo"</formula>
    </cfRule>
  </conditionalFormatting>
  <conditionalFormatting sqref="H53:H58">
    <cfRule type="cellIs" dxfId="110" priority="92" operator="equal">
      <formula>"Muy Alta"</formula>
    </cfRule>
    <cfRule type="cellIs" dxfId="109" priority="93" operator="equal">
      <formula>"Alta"</formula>
    </cfRule>
    <cfRule type="cellIs" dxfId="108" priority="94" operator="equal">
      <formula>"Media"</formula>
    </cfRule>
    <cfRule type="cellIs" dxfId="107" priority="95" operator="equal">
      <formula>"Baja"</formula>
    </cfRule>
    <cfRule type="cellIs" dxfId="106" priority="96" operator="equal">
      <formula>"Muy Baja"</formula>
    </cfRule>
  </conditionalFormatting>
  <conditionalFormatting sqref="H17:H28">
    <cfRule type="cellIs" dxfId="105" priority="260" operator="equal">
      <formula>"Muy Alta"</formula>
    </cfRule>
    <cfRule type="cellIs" dxfId="104" priority="261" operator="equal">
      <formula>"Alta"</formula>
    </cfRule>
    <cfRule type="cellIs" dxfId="103" priority="262" operator="equal">
      <formula>"Media"</formula>
    </cfRule>
    <cfRule type="cellIs" dxfId="102" priority="263" operator="equal">
      <formula>"Baja"</formula>
    </cfRule>
    <cfRule type="cellIs" dxfId="101" priority="264" operator="equal">
      <formula>"Muy Baja"</formula>
    </cfRule>
  </conditionalFormatting>
  <conditionalFormatting sqref="H29:H34">
    <cfRule type="cellIs" dxfId="100" priority="204" operator="equal">
      <formula>"Muy Alta"</formula>
    </cfRule>
    <cfRule type="cellIs" dxfId="99" priority="205" operator="equal">
      <formula>"Alta"</formula>
    </cfRule>
    <cfRule type="cellIs" dxfId="98" priority="206" operator="equal">
      <formula>"Media"</formula>
    </cfRule>
    <cfRule type="cellIs" dxfId="97" priority="207" operator="equal">
      <formula>"Baja"</formula>
    </cfRule>
    <cfRule type="cellIs" dxfId="96" priority="208" operator="equal">
      <formula>"Muy Baja"</formula>
    </cfRule>
  </conditionalFormatting>
  <conditionalFormatting sqref="N29:N34">
    <cfRule type="cellIs" dxfId="95" priority="195" operator="equal">
      <formula>"Extremo"</formula>
    </cfRule>
    <cfRule type="cellIs" dxfId="94" priority="196" operator="equal">
      <formula>"Alto"</formula>
    </cfRule>
    <cfRule type="cellIs" dxfId="93" priority="197" operator="equal">
      <formula>"Moderado"</formula>
    </cfRule>
    <cfRule type="cellIs" dxfId="92" priority="198" operator="equal">
      <formula>"Bajo"</formula>
    </cfRule>
  </conditionalFormatting>
  <conditionalFormatting sqref="H35">
    <cfRule type="cellIs" dxfId="91" priority="176" operator="equal">
      <formula>"Muy Alta"</formula>
    </cfRule>
    <cfRule type="cellIs" dxfId="90" priority="177" operator="equal">
      <formula>"Alta"</formula>
    </cfRule>
    <cfRule type="cellIs" dxfId="89" priority="178" operator="equal">
      <formula>"Media"</formula>
    </cfRule>
    <cfRule type="cellIs" dxfId="88" priority="179" operator="equal">
      <formula>"Baja"</formula>
    </cfRule>
    <cfRule type="cellIs" dxfId="87" priority="180" operator="equal">
      <formula>"Muy Baja"</formula>
    </cfRule>
  </conditionalFormatting>
  <conditionalFormatting sqref="N35">
    <cfRule type="cellIs" dxfId="86" priority="167" operator="equal">
      <formula>"Extremo"</formula>
    </cfRule>
    <cfRule type="cellIs" dxfId="85" priority="168" operator="equal">
      <formula>"Alto"</formula>
    </cfRule>
    <cfRule type="cellIs" dxfId="84" priority="169" operator="equal">
      <formula>"Moderado"</formula>
    </cfRule>
    <cfRule type="cellIs" dxfId="83" priority="170" operator="equal">
      <formula>"Bajo"</formula>
    </cfRule>
  </conditionalFormatting>
  <conditionalFormatting sqref="H41">
    <cfRule type="cellIs" dxfId="82" priority="148" operator="equal">
      <formula>"Muy Alta"</formula>
    </cfRule>
    <cfRule type="cellIs" dxfId="81" priority="149" operator="equal">
      <formula>"Alta"</formula>
    </cfRule>
    <cfRule type="cellIs" dxfId="80" priority="150" operator="equal">
      <formula>"Media"</formula>
    </cfRule>
    <cfRule type="cellIs" dxfId="79" priority="151" operator="equal">
      <formula>"Baja"</formula>
    </cfRule>
    <cfRule type="cellIs" dxfId="78" priority="152" operator="equal">
      <formula>"Muy Baja"</formula>
    </cfRule>
  </conditionalFormatting>
  <conditionalFormatting sqref="N41">
    <cfRule type="cellIs" dxfId="77" priority="139" operator="equal">
      <formula>"Extremo"</formula>
    </cfRule>
    <cfRule type="cellIs" dxfId="76" priority="140" operator="equal">
      <formula>"Alto"</formula>
    </cfRule>
    <cfRule type="cellIs" dxfId="75" priority="141" operator="equal">
      <formula>"Moderado"</formula>
    </cfRule>
    <cfRule type="cellIs" dxfId="74" priority="142" operator="equal">
      <formula>"Bajo"</formula>
    </cfRule>
  </conditionalFormatting>
  <conditionalFormatting sqref="H47">
    <cfRule type="cellIs" dxfId="73" priority="120" operator="equal">
      <formula>"Muy Alta"</formula>
    </cfRule>
    <cfRule type="cellIs" dxfId="72" priority="121" operator="equal">
      <formula>"Alta"</formula>
    </cfRule>
    <cfRule type="cellIs" dxfId="71" priority="122" operator="equal">
      <formula>"Media"</formula>
    </cfRule>
    <cfRule type="cellIs" dxfId="70" priority="123" operator="equal">
      <formula>"Baja"</formula>
    </cfRule>
    <cfRule type="cellIs" dxfId="69" priority="124" operator="equal">
      <formula>"Muy Baja"</formula>
    </cfRule>
  </conditionalFormatting>
  <conditionalFormatting sqref="N47">
    <cfRule type="cellIs" dxfId="68" priority="111" operator="equal">
      <formula>"Extremo"</formula>
    </cfRule>
    <cfRule type="cellIs" dxfId="67" priority="112" operator="equal">
      <formula>"Alto"</formula>
    </cfRule>
    <cfRule type="cellIs" dxfId="66" priority="113" operator="equal">
      <formula>"Moderado"</formula>
    </cfRule>
    <cfRule type="cellIs" dxfId="65" priority="114" operator="equal">
      <formula>"Bajo"</formula>
    </cfRule>
  </conditionalFormatting>
  <conditionalFormatting sqref="N53:N58">
    <cfRule type="cellIs" dxfId="64" priority="83" operator="equal">
      <formula>"Extremo"</formula>
    </cfRule>
    <cfRule type="cellIs" dxfId="63" priority="84" operator="equal">
      <formula>"Alto"</formula>
    </cfRule>
    <cfRule type="cellIs" dxfId="62" priority="85" operator="equal">
      <formula>"Moderado"</formula>
    </cfRule>
    <cfRule type="cellIs" dxfId="61" priority="86" operator="equal">
      <formula>"Bajo"</formula>
    </cfRule>
  </conditionalFormatting>
  <conditionalFormatting sqref="Y53:Y58">
    <cfRule type="cellIs" dxfId="60" priority="78" operator="equal">
      <formula>"Muy Alta"</formula>
    </cfRule>
    <cfRule type="cellIs" dxfId="59" priority="79" operator="equal">
      <formula>"Alta"</formula>
    </cfRule>
    <cfRule type="cellIs" dxfId="58" priority="80" operator="equal">
      <formula>"Media"</formula>
    </cfRule>
    <cfRule type="cellIs" dxfId="57" priority="81" operator="equal">
      <formula>"Baja"</formula>
    </cfRule>
    <cfRule type="cellIs" dxfId="56" priority="82" operator="equal">
      <formula>"Muy Baja"</formula>
    </cfRule>
  </conditionalFormatting>
  <conditionalFormatting sqref="AA53:AA58">
    <cfRule type="cellIs" dxfId="55" priority="73" operator="equal">
      <formula>"Catastrófico"</formula>
    </cfRule>
    <cfRule type="cellIs" dxfId="54" priority="74" operator="equal">
      <formula>"Mayor"</formula>
    </cfRule>
    <cfRule type="cellIs" dxfId="53" priority="75" operator="equal">
      <formula>"Moderado"</formula>
    </cfRule>
    <cfRule type="cellIs" dxfId="52" priority="76" operator="equal">
      <formula>"Menor"</formula>
    </cfRule>
    <cfRule type="cellIs" dxfId="51" priority="77" operator="equal">
      <formula>"Leve"</formula>
    </cfRule>
  </conditionalFormatting>
  <conditionalFormatting sqref="AC53:AC58">
    <cfRule type="cellIs" dxfId="50" priority="69" operator="equal">
      <formula>"Extremo"</formula>
    </cfRule>
    <cfRule type="cellIs" dxfId="49" priority="70" operator="equal">
      <formula>"Alto"</formula>
    </cfRule>
    <cfRule type="cellIs" dxfId="48" priority="71" operator="equal">
      <formula>"Moderado"</formula>
    </cfRule>
    <cfRule type="cellIs" dxfId="47" priority="72" operator="equal">
      <formula>"Bajo"</formula>
    </cfRule>
  </conditionalFormatting>
  <conditionalFormatting sqref="H59:H64">
    <cfRule type="cellIs" dxfId="46" priority="64" operator="equal">
      <formula>"Muy Alta"</formula>
    </cfRule>
    <cfRule type="cellIs" dxfId="45" priority="65" operator="equal">
      <formula>"Alta"</formula>
    </cfRule>
    <cfRule type="cellIs" dxfId="44" priority="66" operator="equal">
      <formula>"Media"</formula>
    </cfRule>
    <cfRule type="cellIs" dxfId="43" priority="67" operator="equal">
      <formula>"Baja"</formula>
    </cfRule>
    <cfRule type="cellIs" dxfId="42" priority="68" operator="equal">
      <formula>"Muy Baja"</formula>
    </cfRule>
  </conditionalFormatting>
  <conditionalFormatting sqref="N59:N64">
    <cfRule type="cellIs" dxfId="41" priority="55" operator="equal">
      <formula>"Extremo"</formula>
    </cfRule>
    <cfRule type="cellIs" dxfId="40" priority="56" operator="equal">
      <formula>"Alto"</formula>
    </cfRule>
    <cfRule type="cellIs" dxfId="39" priority="57" operator="equal">
      <formula>"Moderado"</formula>
    </cfRule>
    <cfRule type="cellIs" dxfId="38" priority="58" operator="equal">
      <formula>"Bajo"</formula>
    </cfRule>
  </conditionalFormatting>
  <conditionalFormatting sqref="Y59:Y64">
    <cfRule type="cellIs" dxfId="37" priority="50" operator="equal">
      <formula>"Muy Alta"</formula>
    </cfRule>
    <cfRule type="cellIs" dxfId="36" priority="51" operator="equal">
      <formula>"Alta"</formula>
    </cfRule>
    <cfRule type="cellIs" dxfId="35" priority="52" operator="equal">
      <formula>"Media"</formula>
    </cfRule>
    <cfRule type="cellIs" dxfId="34" priority="53" operator="equal">
      <formula>"Baja"</formula>
    </cfRule>
    <cfRule type="cellIs" dxfId="33" priority="54" operator="equal">
      <formula>"Muy Baja"</formula>
    </cfRule>
  </conditionalFormatting>
  <conditionalFormatting sqref="AA59:AA64">
    <cfRule type="cellIs" dxfId="32" priority="45" operator="equal">
      <formula>"Catastrófico"</formula>
    </cfRule>
    <cfRule type="cellIs" dxfId="31" priority="46" operator="equal">
      <formula>"Mayor"</formula>
    </cfRule>
    <cfRule type="cellIs" dxfId="30" priority="47" operator="equal">
      <formula>"Moderado"</formula>
    </cfRule>
    <cfRule type="cellIs" dxfId="29" priority="48" operator="equal">
      <formula>"Menor"</formula>
    </cfRule>
    <cfRule type="cellIs" dxfId="28" priority="49" operator="equal">
      <formula>"Leve"</formula>
    </cfRule>
  </conditionalFormatting>
  <conditionalFormatting sqref="AC59:AC64">
    <cfRule type="cellIs" dxfId="27" priority="41" operator="equal">
      <formula>"Extremo"</formula>
    </cfRule>
    <cfRule type="cellIs" dxfId="26" priority="42" operator="equal">
      <formula>"Alto"</formula>
    </cfRule>
    <cfRule type="cellIs" dxfId="25" priority="43" operator="equal">
      <formula>"Moderado"</formula>
    </cfRule>
    <cfRule type="cellIs" dxfId="24" priority="44" operator="equal">
      <formula>"Bajo"</formula>
    </cfRule>
  </conditionalFormatting>
  <conditionalFormatting sqref="K12:K64">
    <cfRule type="containsText" dxfId="23" priority="40" operator="containsText" text="❌">
      <formula>NOT(ISERROR(SEARCH("❌",K12)))</formula>
    </cfRule>
  </conditionalFormatting>
  <conditionalFormatting sqref="H12:H16">
    <cfRule type="cellIs" dxfId="22" priority="35" operator="equal">
      <formula>"Muy Alta"</formula>
    </cfRule>
    <cfRule type="cellIs" dxfId="21" priority="36" operator="equal">
      <formula>"Alta"</formula>
    </cfRule>
    <cfRule type="cellIs" dxfId="20" priority="37" operator="equal">
      <formula>"Media"</formula>
    </cfRule>
    <cfRule type="cellIs" dxfId="19" priority="38" operator="equal">
      <formula>"Baja"</formula>
    </cfRule>
    <cfRule type="cellIs" dxfId="18" priority="39" operator="equal">
      <formula>"Muy Baja"</formula>
    </cfRule>
  </conditionalFormatting>
  <conditionalFormatting sqref="L12:L16">
    <cfRule type="cellIs" dxfId="17" priority="30" operator="equal">
      <formula>"Catastrófico"</formula>
    </cfRule>
    <cfRule type="cellIs" dxfId="16" priority="31" operator="equal">
      <formula>"Mayor"</formula>
    </cfRule>
    <cfRule type="cellIs" dxfId="15" priority="32" operator="equal">
      <formula>"Moderado"</formula>
    </cfRule>
    <cfRule type="cellIs" dxfId="14" priority="33" operator="equal">
      <formula>"Menor"</formula>
    </cfRule>
    <cfRule type="cellIs" dxfId="13" priority="34" operator="equal">
      <formula>"Leve"</formula>
    </cfRule>
  </conditionalFormatting>
  <conditionalFormatting sqref="N12:N28">
    <cfRule type="cellIs" dxfId="12" priority="26" operator="equal">
      <formula>"Extremo"</formula>
    </cfRule>
    <cfRule type="cellIs" dxfId="11" priority="27" operator="equal">
      <formula>"Alto"</formula>
    </cfRule>
    <cfRule type="cellIs" dxfId="10" priority="28" operator="equal">
      <formula>"Moderado"</formula>
    </cfRule>
    <cfRule type="cellIs" dxfId="9" priority="29" operator="equal">
      <formula>"Bajo"</formula>
    </cfRule>
  </conditionalFormatting>
  <conditionalFormatting sqref="L17:L22">
    <cfRule type="cellIs" dxfId="8" priority="1" operator="equal">
      <formula>"Catastrófico"</formula>
    </cfRule>
    <cfRule type="cellIs" dxfId="7" priority="2" operator="equal">
      <formula>"Mayor"</formula>
    </cfRule>
    <cfRule type="cellIs" dxfId="6" priority="3" operator="equal">
      <formula>"Moderado"</formula>
    </cfRule>
    <cfRule type="cellIs" dxfId="5" priority="4" operator="equal">
      <formula>"Menor"</formula>
    </cfRule>
    <cfRule type="cellIs" dxfId="4" priority="5" operator="equal">
      <formula>"Leve"</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'Opciones Tratamiento'!$B$9:$B$10</xm:f>
          </x14:formula1>
          <xm:sqref>AI59:AI60 AI62:AI63 AI29:AI30 AI32:AI33 AI35:AI36 AI38:AI39 AI41:AI42 AI44:AI45 AI47:AI48 AI50:AI51 AI53:AI54 AI56:AI57 AI12:AI27</xm:sqref>
        </x14:dataValidation>
        <x14:dataValidation type="custom" allowBlank="1" showInputMessage="1" showErrorMessage="1" error="Recuerde que las acciones se generan bajo la medida de mitigar el riesgo">
          <x14:formula1>
            <xm:f>IF(OR(AD12='Opciones Tratamiento'!$B$2,AD12='Opciones Tratamiento'!$B$3,AD12='Opciones Tratamiento'!$B$4),ISBLANK(AD12),ISTEXT(AD12))</xm:f>
          </x14:formula1>
          <xm:sqref>AH12:AH23 AG12:AG64</xm:sqref>
        </x14:dataValidation>
        <x14:dataValidation type="list" allowBlank="1" showInputMessage="1" showErrorMessage="1">
          <x14:formula1>
            <xm:f>'Tabla Valoración controles'!$D$4:$D$6</xm:f>
          </x14:formula1>
          <xm:sqref>R12:R64</xm:sqref>
        </x14:dataValidation>
        <x14:dataValidation type="list" allowBlank="1" showInputMessage="1" showErrorMessage="1">
          <x14:formula1>
            <xm:f>'Tabla Valoración controles'!$D$7:$D$8</xm:f>
          </x14:formula1>
          <xm:sqref>S12:S64</xm:sqref>
        </x14:dataValidation>
        <x14:dataValidation type="list" allowBlank="1" showInputMessage="1" showErrorMessage="1">
          <x14:formula1>
            <xm:f>'Tabla Valoración controles'!$D$9:$D$10</xm:f>
          </x14:formula1>
          <xm:sqref>U12:U64</xm:sqref>
        </x14:dataValidation>
        <x14:dataValidation type="list" allowBlank="1" showInputMessage="1" showErrorMessage="1">
          <x14:formula1>
            <xm:f>'Tabla Valoración controles'!$D$11:$D$12</xm:f>
          </x14:formula1>
          <xm:sqref>V12:V64</xm:sqref>
        </x14:dataValidation>
        <x14:dataValidation type="list" allowBlank="1" showInputMessage="1" showErrorMessage="1">
          <x14:formula1>
            <xm:f>'Tabla Valoración controles'!$D$13:$D$14</xm:f>
          </x14:formula1>
          <xm:sqref>W12:W64</xm:sqref>
        </x14:dataValidation>
        <x14:dataValidation type="list" allowBlank="1" showInputMessage="1" showErrorMessage="1">
          <x14:formula1>
            <xm:f>'Opciones Tratamiento'!$B$13:$B$19</xm:f>
          </x14:formula1>
          <xm:sqref>F12:F64</xm:sqref>
        </x14:dataValidation>
        <x14:dataValidation type="list" allowBlank="1" showInputMessage="1" showErrorMessage="1">
          <x14:formula1>
            <xm:f>'Opciones Tratamiento'!$E$2:$E$4</xm:f>
          </x14:formula1>
          <xm:sqref>B12:B64</xm:sqref>
        </x14:dataValidation>
        <x14:dataValidation type="list" allowBlank="1" showInputMessage="1" showErrorMessage="1">
          <x14:formula1>
            <xm:f>'Opciones Tratamiento'!$B$2:$B$5</xm:f>
          </x14:formula1>
          <xm:sqref>AD12:AD64</xm:sqref>
        </x14:dataValidation>
        <x14:dataValidation type="list" allowBlank="1" showInputMessage="1" showErrorMessage="1">
          <x14:formula1>
            <xm:f>'Tabla Impacto'!$F$210:$F$221</xm:f>
          </x14:formula1>
          <xm:sqref>J12:J64</xm:sqref>
        </x14:dataValidation>
        <x14:dataValidation type="custom" allowBlank="1" showInputMessage="1" showErrorMessage="1" error="Recuerde que las acciones se generan bajo la medida de mitigar el riesgo">
          <x14:formula1>
            <xm:f>IF(OR(AD12='Opciones Tratamiento'!$B$2,AD12='Opciones Tratamiento'!$B$3,AD12='Opciones Tratamiento'!$B$4),ISBLANK(AD12),ISTEXT(AD12))</xm:f>
          </x14:formula1>
          <xm:sqref>AE12:AE64</xm:sqref>
        </x14:dataValidation>
        <x14:dataValidation type="custom" allowBlank="1" showInputMessage="1" showErrorMessage="1" error="Recuerde que las acciones se generan bajo la medida de mitigar el riesgo">
          <x14:formula1>
            <xm:f>IF(OR(AD12='Opciones Tratamiento'!$B$2,AD12='Opciones Tratamiento'!$B$3,AD12='Opciones Tratamiento'!$B$4),ISBLANK(AD12),ISTEXT(AD12))</xm:f>
          </x14:formula1>
          <xm:sqref>AF12:AF64</xm:sqref>
        </x14:dataValidation>
        <x14:dataValidation type="custom" allowBlank="1" showInputMessage="1" showErrorMessage="1" error="Recuerde que las acciones se generan bajo la medida de mitigar el riesgo">
          <x14:formula1>
            <xm:f>IF(OR(AD24='Opciones Tratamiento'!$B$2,AD24='Opciones Tratamiento'!$B$3,AD24='Opciones Tratamiento'!$B$4),ISBLANK(AD24),ISTEXT(AD24))</xm:f>
          </x14:formula1>
          <xm:sqref>AH24:AH64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3"/>
  <sheetViews>
    <sheetView zoomScaleNormal="100" workbookViewId="0">
      <selection activeCell="K8" sqref="K8"/>
    </sheetView>
  </sheetViews>
  <sheetFormatPr baseColWidth="10" defaultRowHeight="15" x14ac:dyDescent="0.25"/>
  <cols>
    <col min="1" max="1" width="4.28515625" customWidth="1"/>
    <col min="3" max="3" width="16.140625" customWidth="1"/>
    <col min="4" max="4" width="14.140625" customWidth="1"/>
    <col min="5" max="5" width="14.42578125" customWidth="1"/>
    <col min="6" max="6" width="15.140625" customWidth="1"/>
    <col min="7" max="7" width="16.85546875" customWidth="1"/>
    <col min="8" max="8" width="8.5703125" customWidth="1"/>
    <col min="9" max="9" width="14.28515625" customWidth="1"/>
    <col min="10" max="10" width="13.28515625" customWidth="1"/>
    <col min="11" max="11" width="20.28515625" customWidth="1"/>
    <col min="12" max="12" width="13.5703125" customWidth="1"/>
    <col min="13" max="13" width="26.42578125" customWidth="1"/>
  </cols>
  <sheetData>
    <row r="2" spans="1:13" ht="15.75" x14ac:dyDescent="0.25">
      <c r="B2" s="301" t="s">
        <v>276</v>
      </c>
      <c r="C2" s="301"/>
      <c r="D2" s="301"/>
      <c r="E2" s="301"/>
      <c r="F2" s="301"/>
      <c r="G2" s="301"/>
    </row>
    <row r="4" spans="1:13" ht="40.5" customHeight="1" x14ac:dyDescent="0.25">
      <c r="A4" s="302" t="s">
        <v>277</v>
      </c>
      <c r="B4" s="138" t="s">
        <v>278</v>
      </c>
      <c r="C4" s="139"/>
      <c r="D4" s="139"/>
      <c r="E4" s="143"/>
      <c r="F4" s="143" t="s">
        <v>364</v>
      </c>
      <c r="G4" s="140"/>
      <c r="I4" s="141" t="s">
        <v>279</v>
      </c>
    </row>
    <row r="5" spans="1:13" ht="40.5" customHeight="1" x14ac:dyDescent="0.25">
      <c r="A5" s="302"/>
      <c r="B5" s="138" t="s">
        <v>280</v>
      </c>
      <c r="C5" s="142"/>
      <c r="D5" s="142"/>
      <c r="E5" s="143"/>
      <c r="F5" s="139"/>
      <c r="G5" s="144"/>
      <c r="I5" s="145" t="s">
        <v>281</v>
      </c>
    </row>
    <row r="6" spans="1:13" ht="40.5" customHeight="1" x14ac:dyDescent="0.25">
      <c r="A6" s="302"/>
      <c r="B6" s="138" t="s">
        <v>282</v>
      </c>
      <c r="C6" s="142"/>
      <c r="D6" s="146"/>
      <c r="E6" s="142">
        <v>12</v>
      </c>
      <c r="F6" s="143" t="s">
        <v>366</v>
      </c>
      <c r="G6" s="144"/>
      <c r="I6" s="147" t="s">
        <v>283</v>
      </c>
    </row>
    <row r="7" spans="1:13" ht="40.5" customHeight="1" x14ac:dyDescent="0.25">
      <c r="A7" s="302"/>
      <c r="B7" s="138" t="s">
        <v>284</v>
      </c>
      <c r="C7" s="148"/>
      <c r="D7" s="149"/>
      <c r="E7" s="142"/>
      <c r="F7" s="143" t="s">
        <v>365</v>
      </c>
      <c r="G7" s="144"/>
      <c r="I7" s="150" t="s">
        <v>285</v>
      </c>
    </row>
    <row r="8" spans="1:13" ht="44.25" customHeight="1" x14ac:dyDescent="0.25">
      <c r="A8" s="302"/>
      <c r="B8" s="138" t="s">
        <v>286</v>
      </c>
      <c r="C8" s="148"/>
      <c r="D8" s="148"/>
      <c r="E8" s="142">
        <v>1</v>
      </c>
      <c r="F8" s="139"/>
      <c r="G8" s="144"/>
    </row>
    <row r="9" spans="1:13" x14ac:dyDescent="0.25">
      <c r="A9" s="302"/>
      <c r="B9" s="151"/>
      <c r="C9" s="152" t="s">
        <v>287</v>
      </c>
      <c r="D9" s="152" t="s">
        <v>288</v>
      </c>
      <c r="E9" s="152" t="s">
        <v>289</v>
      </c>
      <c r="F9" s="152" t="s">
        <v>290</v>
      </c>
      <c r="G9" s="152" t="s">
        <v>291</v>
      </c>
      <c r="L9" t="s">
        <v>292</v>
      </c>
    </row>
    <row r="10" spans="1:13" ht="21" customHeight="1" x14ac:dyDescent="0.25"/>
    <row r="11" spans="1:13" x14ac:dyDescent="0.25">
      <c r="J11" s="153" t="s">
        <v>293</v>
      </c>
      <c r="K11" s="153" t="s">
        <v>294</v>
      </c>
      <c r="L11" s="153" t="s">
        <v>276</v>
      </c>
      <c r="M11" s="153" t="s">
        <v>295</v>
      </c>
    </row>
    <row r="12" spans="1:13" x14ac:dyDescent="0.25">
      <c r="J12" s="154">
        <v>1</v>
      </c>
      <c r="K12" s="154" t="s">
        <v>296</v>
      </c>
      <c r="L12" s="154" t="s">
        <v>80</v>
      </c>
      <c r="M12" s="157" t="s">
        <v>80</v>
      </c>
    </row>
    <row r="13" spans="1:13" x14ac:dyDescent="0.25">
      <c r="J13" s="154">
        <v>2</v>
      </c>
      <c r="K13" s="154" t="s">
        <v>106</v>
      </c>
      <c r="L13" s="154" t="s">
        <v>7</v>
      </c>
      <c r="M13" s="155" t="s">
        <v>79</v>
      </c>
    </row>
    <row r="14" spans="1:13" x14ac:dyDescent="0.25">
      <c r="J14" s="154">
        <v>3</v>
      </c>
      <c r="K14" s="154" t="s">
        <v>106</v>
      </c>
      <c r="L14" s="154" t="s">
        <v>7</v>
      </c>
      <c r="M14" s="155" t="s">
        <v>79</v>
      </c>
    </row>
    <row r="15" spans="1:13" x14ac:dyDescent="0.25">
      <c r="J15" s="154">
        <v>4</v>
      </c>
      <c r="K15" s="154" t="s">
        <v>106</v>
      </c>
      <c r="L15" s="154" t="s">
        <v>7</v>
      </c>
      <c r="M15" s="155" t="s">
        <v>79</v>
      </c>
    </row>
    <row r="16" spans="1:13" x14ac:dyDescent="0.25">
      <c r="J16" s="154">
        <v>5</v>
      </c>
      <c r="K16" s="154" t="s">
        <v>106</v>
      </c>
      <c r="L16" s="154" t="s">
        <v>7</v>
      </c>
      <c r="M16" s="155" t="s">
        <v>79</v>
      </c>
    </row>
    <row r="17" spans="10:13" x14ac:dyDescent="0.25">
      <c r="J17" s="154">
        <v>6</v>
      </c>
      <c r="K17" s="154" t="s">
        <v>52</v>
      </c>
      <c r="L17" s="154" t="s">
        <v>7</v>
      </c>
      <c r="M17" s="155" t="s">
        <v>79</v>
      </c>
    </row>
    <row r="18" spans="10:13" x14ac:dyDescent="0.25">
      <c r="J18" s="154">
        <v>7</v>
      </c>
      <c r="K18" s="154" t="s">
        <v>106</v>
      </c>
      <c r="L18" s="154" t="s">
        <v>7</v>
      </c>
      <c r="M18" s="155" t="s">
        <v>79</v>
      </c>
    </row>
    <row r="19" spans="10:13" x14ac:dyDescent="0.25">
      <c r="J19" s="154">
        <v>8</v>
      </c>
      <c r="K19" s="154" t="s">
        <v>326</v>
      </c>
      <c r="L19" s="154" t="s">
        <v>7</v>
      </c>
      <c r="M19" s="155" t="s">
        <v>79</v>
      </c>
    </row>
    <row r="20" spans="10:13" x14ac:dyDescent="0.25">
      <c r="J20" s="154">
        <v>9</v>
      </c>
      <c r="K20" s="154" t="s">
        <v>326</v>
      </c>
      <c r="L20" s="154" t="s">
        <v>7</v>
      </c>
      <c r="M20" s="155" t="s">
        <v>79</v>
      </c>
    </row>
    <row r="21" spans="10:13" x14ac:dyDescent="0.25">
      <c r="J21" s="156">
        <v>10</v>
      </c>
      <c r="K21" s="154" t="s">
        <v>326</v>
      </c>
      <c r="L21" s="154" t="s">
        <v>7</v>
      </c>
      <c r="M21" s="155" t="s">
        <v>79</v>
      </c>
    </row>
    <row r="22" spans="10:13" x14ac:dyDescent="0.25">
      <c r="J22" s="154">
        <v>11</v>
      </c>
      <c r="K22" s="154" t="s">
        <v>106</v>
      </c>
      <c r="L22" s="154" t="s">
        <v>7</v>
      </c>
      <c r="M22" s="155" t="s">
        <v>79</v>
      </c>
    </row>
    <row r="23" spans="10:13" x14ac:dyDescent="0.25">
      <c r="J23" s="156">
        <v>12</v>
      </c>
      <c r="K23" s="154" t="s">
        <v>106</v>
      </c>
      <c r="L23" s="154" t="s">
        <v>80</v>
      </c>
      <c r="M23" s="157" t="s">
        <v>80</v>
      </c>
    </row>
  </sheetData>
  <mergeCells count="2">
    <mergeCell ref="B2:G2"/>
    <mergeCell ref="A4:A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AU51" sqref="AU51"/>
    </sheetView>
  </sheetViews>
  <sheetFormatPr baseColWidth="10" defaultRowHeight="15" x14ac:dyDescent="0.25"/>
  <cols>
    <col min="2" max="39" width="5.7109375" customWidth="1"/>
    <col min="41" max="46" width="5.7109375" customWidth="1"/>
  </cols>
  <sheetData>
    <row r="1" spans="1:99" x14ac:dyDescent="0.25">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row>
    <row r="2" spans="1:99" ht="18" customHeight="1" x14ac:dyDescent="0.25">
      <c r="A2" s="44"/>
      <c r="B2" s="390" t="s">
        <v>158</v>
      </c>
      <c r="C2" s="390"/>
      <c r="D2" s="390"/>
      <c r="E2" s="390"/>
      <c r="F2" s="390"/>
      <c r="G2" s="390"/>
      <c r="H2" s="390"/>
      <c r="I2" s="390"/>
      <c r="J2" s="357" t="s">
        <v>2</v>
      </c>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row>
    <row r="3" spans="1:99" ht="18.75" customHeight="1" x14ac:dyDescent="0.25">
      <c r="A3" s="44"/>
      <c r="B3" s="390"/>
      <c r="C3" s="390"/>
      <c r="D3" s="390"/>
      <c r="E3" s="390"/>
      <c r="F3" s="390"/>
      <c r="G3" s="390"/>
      <c r="H3" s="390"/>
      <c r="I3" s="390"/>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57"/>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row>
    <row r="4" spans="1:99" ht="15" customHeight="1" x14ac:dyDescent="0.25">
      <c r="A4" s="44"/>
      <c r="B4" s="390"/>
      <c r="C4" s="390"/>
      <c r="D4" s="390"/>
      <c r="E4" s="390"/>
      <c r="F4" s="390"/>
      <c r="G4" s="390"/>
      <c r="H4" s="390"/>
      <c r="I4" s="390"/>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57"/>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row>
    <row r="5" spans="1:99" ht="15.75" thickBot="1" x14ac:dyDescent="0.3">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row>
    <row r="6" spans="1:99" ht="15" customHeight="1" x14ac:dyDescent="0.25">
      <c r="A6" s="44"/>
      <c r="B6" s="303" t="s">
        <v>4</v>
      </c>
      <c r="C6" s="303"/>
      <c r="D6" s="304"/>
      <c r="E6" s="341" t="s">
        <v>115</v>
      </c>
      <c r="F6" s="342"/>
      <c r="G6" s="342"/>
      <c r="H6" s="342"/>
      <c r="I6" s="343"/>
      <c r="J6" s="353" t="str">
        <f ca="1">IF(AND('Matriz final'!$H$12="Muy Alta",'Matriz final'!$L$12="Leve"),CONCATENATE("R",'Matriz final'!$A$12),"")</f>
        <v/>
      </c>
      <c r="K6" s="354"/>
      <c r="L6" s="354" t="e">
        <f>IF(AND('Matriz final'!#REF!="Muy Alta",'Matriz final'!#REF!="Leve"),CONCATENATE("R",'Matriz final'!#REF!),"")</f>
        <v>#REF!</v>
      </c>
      <c r="M6" s="354"/>
      <c r="N6" s="354" t="str">
        <f ca="1">IF(AND('Matriz final'!$H$17="Muy Alta",'Matriz final'!$L$17="Leve"),CONCATENATE("R",'Matriz final'!$A$17),"")</f>
        <v/>
      </c>
      <c r="O6" s="356"/>
      <c r="P6" s="353" t="str">
        <f ca="1">IF(AND('Matriz final'!$H$12="Muy Alta",'Matriz final'!$L$12="Menor"),CONCATENATE("R",'Matriz final'!$A$12),"")</f>
        <v/>
      </c>
      <c r="Q6" s="354"/>
      <c r="R6" s="354" t="e">
        <f>IF(AND('Matriz final'!#REF!="Muy Alta",'Matriz final'!#REF!="Menor"),CONCATENATE("R",'Matriz final'!#REF!),"")</f>
        <v>#REF!</v>
      </c>
      <c r="S6" s="354"/>
      <c r="T6" s="354" t="str">
        <f ca="1">IF(AND('Matriz final'!$H$17="Muy Alta",'Matriz final'!$L$17="Menor"),CONCATENATE("R",'Matriz final'!$A$17),"")</f>
        <v/>
      </c>
      <c r="U6" s="356"/>
      <c r="V6" s="353" t="str">
        <f ca="1">IF(AND('Matriz final'!$H$12="Muy Alta",'Matriz final'!$L$12="Moderado"),CONCATENATE("R",'Matriz final'!$A$12),"")</f>
        <v/>
      </c>
      <c r="W6" s="354"/>
      <c r="X6" s="354" t="e">
        <f>IF(AND('Matriz final'!#REF!="Muy Alta",'Matriz final'!#REF!="Moderado"),CONCATENATE("R",'Matriz final'!#REF!),"")</f>
        <v>#REF!</v>
      </c>
      <c r="Y6" s="354"/>
      <c r="Z6" s="354" t="str">
        <f ca="1">IF(AND('Matriz final'!$H$17="Muy Alta",'Matriz final'!$L$17="Moderado"),CONCATENATE("R",'Matriz final'!$A$17),"")</f>
        <v/>
      </c>
      <c r="AA6" s="356"/>
      <c r="AB6" s="353" t="str">
        <f ca="1">IF(AND('Matriz final'!$H$12="Muy Alta",'Matriz final'!$L$12="Mayor"),CONCATENATE("R",'Matriz final'!$A$12),"")</f>
        <v/>
      </c>
      <c r="AC6" s="354"/>
      <c r="AD6" s="354" t="e">
        <f>IF(AND('Matriz final'!#REF!="Muy Alta",'Matriz final'!#REF!="Mayor"),CONCATENATE("R",'Matriz final'!#REF!),"")</f>
        <v>#REF!</v>
      </c>
      <c r="AE6" s="354"/>
      <c r="AF6" s="354" t="str">
        <f ca="1">IF(AND('Matriz final'!$H$17="Muy Alta",'Matriz final'!$L$17="Mayor"),CONCATENATE("R",'Matriz final'!$A$17),"")</f>
        <v/>
      </c>
      <c r="AG6" s="356"/>
      <c r="AH6" s="369" t="str">
        <f ca="1">IF(AND('Matriz final'!$H$12="Muy Alta",'Matriz final'!$L$12="Catastrófico"),CONCATENATE("R",'Matriz final'!$A$12),"")</f>
        <v/>
      </c>
      <c r="AI6" s="370"/>
      <c r="AJ6" s="370" t="e">
        <f>IF(AND('Matriz final'!#REF!="Muy Alta",'Matriz final'!#REF!="Catastrófico"),CONCATENATE("R",'Matriz final'!#REF!),"")</f>
        <v>#REF!</v>
      </c>
      <c r="AK6" s="370"/>
      <c r="AL6" s="370" t="str">
        <f ca="1">IF(AND('Matriz final'!$H$17="Muy Alta",'Matriz final'!$L$17="Catastrófico"),CONCATENATE("R",'Matriz final'!$A$17),"")</f>
        <v/>
      </c>
      <c r="AM6" s="371"/>
      <c r="AO6" s="305" t="s">
        <v>78</v>
      </c>
      <c r="AP6" s="306"/>
      <c r="AQ6" s="306"/>
      <c r="AR6" s="306"/>
      <c r="AS6" s="306"/>
      <c r="AT6" s="307"/>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row>
    <row r="7" spans="1:99" ht="15" customHeight="1" x14ac:dyDescent="0.25">
      <c r="A7" s="44"/>
      <c r="B7" s="303"/>
      <c r="C7" s="303"/>
      <c r="D7" s="304"/>
      <c r="E7" s="344"/>
      <c r="F7" s="345"/>
      <c r="G7" s="345"/>
      <c r="H7" s="345"/>
      <c r="I7" s="346"/>
      <c r="J7" s="355"/>
      <c r="K7" s="352"/>
      <c r="L7" s="352"/>
      <c r="M7" s="352"/>
      <c r="N7" s="352"/>
      <c r="O7" s="351"/>
      <c r="P7" s="355"/>
      <c r="Q7" s="352"/>
      <c r="R7" s="352"/>
      <c r="S7" s="352"/>
      <c r="T7" s="352"/>
      <c r="U7" s="351"/>
      <c r="V7" s="355"/>
      <c r="W7" s="352"/>
      <c r="X7" s="352"/>
      <c r="Y7" s="352"/>
      <c r="Z7" s="352"/>
      <c r="AA7" s="351"/>
      <c r="AB7" s="355"/>
      <c r="AC7" s="352"/>
      <c r="AD7" s="352"/>
      <c r="AE7" s="352"/>
      <c r="AF7" s="352"/>
      <c r="AG7" s="351"/>
      <c r="AH7" s="363"/>
      <c r="AI7" s="364"/>
      <c r="AJ7" s="364"/>
      <c r="AK7" s="364"/>
      <c r="AL7" s="364"/>
      <c r="AM7" s="365"/>
      <c r="AN7" s="44"/>
      <c r="AO7" s="308"/>
      <c r="AP7" s="309"/>
      <c r="AQ7" s="309"/>
      <c r="AR7" s="309"/>
      <c r="AS7" s="309"/>
      <c r="AT7" s="310"/>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row>
    <row r="8" spans="1:99" ht="15" customHeight="1" x14ac:dyDescent="0.25">
      <c r="A8" s="44"/>
      <c r="B8" s="303"/>
      <c r="C8" s="303"/>
      <c r="D8" s="304"/>
      <c r="E8" s="344"/>
      <c r="F8" s="345"/>
      <c r="G8" s="345"/>
      <c r="H8" s="345"/>
      <c r="I8" s="346"/>
      <c r="J8" s="355" t="str">
        <f ca="1">IF(AND('Matriz final'!$H$23="Muy Alta",'Matriz final'!$L$23="Leve"),CONCATENATE("R",'Matriz final'!$A$23),"")</f>
        <v/>
      </c>
      <c r="K8" s="352"/>
      <c r="L8" s="350" t="str">
        <f ca="1">IF(AND('Matriz final'!$H$29="Muy Alta",'Matriz final'!$L$29="Leve"),CONCATENATE("R",'Matriz final'!$A$29),"")</f>
        <v>R8</v>
      </c>
      <c r="M8" s="350"/>
      <c r="N8" s="350" t="str">
        <f ca="1">IF(AND('Matriz final'!$H$35="Muy Alta",'Matriz final'!$L$35="Leve"),CONCATENATE("R",'Matriz final'!$A$35),"")</f>
        <v/>
      </c>
      <c r="O8" s="351"/>
      <c r="P8" s="355" t="str">
        <f ca="1">IF(AND('Matriz final'!$H$23="Muy Alta",'Matriz final'!$L$23="Menor"),CONCATENATE("R",'Matriz final'!$A$23),"")</f>
        <v/>
      </c>
      <c r="Q8" s="352"/>
      <c r="R8" s="350" t="str">
        <f ca="1">IF(AND('Matriz final'!$H$29="Muy Alta",'Matriz final'!$L$29="Menor"),CONCATENATE("R",'Matriz final'!$A$29),"")</f>
        <v/>
      </c>
      <c r="S8" s="350"/>
      <c r="T8" s="350" t="str">
        <f ca="1">IF(AND('Matriz final'!$H$35="Muy Alta",'Matriz final'!$L$35="Menor"),CONCATENATE("R",'Matriz final'!$A$35),"")</f>
        <v/>
      </c>
      <c r="U8" s="351"/>
      <c r="V8" s="355" t="str">
        <f ca="1">IF(AND('Matriz final'!$H$23="Muy Alta",'Matriz final'!$L$23="Moderado"),CONCATENATE("R",'Matriz final'!$A$23),"")</f>
        <v/>
      </c>
      <c r="W8" s="352"/>
      <c r="X8" s="350" t="str">
        <f ca="1">IF(AND('Matriz final'!$H$29="Muy Alta",'Matriz final'!$L$29="Moderado"),CONCATENATE("R",'Matriz final'!$A$29),"")</f>
        <v/>
      </c>
      <c r="Y8" s="350"/>
      <c r="Z8" s="350" t="str">
        <f ca="1">IF(AND('Matriz final'!$H$35="Muy Alta",'Matriz final'!$L$35="Moderado"),CONCATENATE("R",'Matriz final'!$A$35),"")</f>
        <v/>
      </c>
      <c r="AA8" s="351"/>
      <c r="AB8" s="355" t="str">
        <f ca="1">IF(AND('Matriz final'!$H$23="Muy Alta",'Matriz final'!$L$23="Mayor"),CONCATENATE("R",'Matriz final'!$A$23),"")</f>
        <v/>
      </c>
      <c r="AC8" s="352"/>
      <c r="AD8" s="350" t="str">
        <f ca="1">IF(AND('Matriz final'!$H$29="Muy Alta",'Matriz final'!$L$29="Mayor"),CONCATENATE("R",'Matriz final'!$A$29),"")</f>
        <v/>
      </c>
      <c r="AE8" s="350"/>
      <c r="AF8" s="350" t="str">
        <f ca="1">IF(AND('Matriz final'!$H$35="Muy Alta",'Matriz final'!$L$35="Mayor"),CONCATENATE("R",'Matriz final'!$A$35),"")</f>
        <v/>
      </c>
      <c r="AG8" s="351"/>
      <c r="AH8" s="363" t="str">
        <f ca="1">IF(AND('Matriz final'!$H$23="Muy Alta",'Matriz final'!$L$23="Catastrófico"),CONCATENATE("R",'Matriz final'!$A$23),"")</f>
        <v/>
      </c>
      <c r="AI8" s="364"/>
      <c r="AJ8" s="364" t="str">
        <f ca="1">IF(AND('Matriz final'!$H$29="Muy Alta",'Matriz final'!$L$29="Catastrófico"),CONCATENATE("R",'Matriz final'!$A$29),"")</f>
        <v/>
      </c>
      <c r="AK8" s="364"/>
      <c r="AL8" s="364" t="str">
        <f ca="1">IF(AND('Matriz final'!$H$35="Muy Alta",'Matriz final'!$L$35="Catastrófico"),CONCATENATE("R",'Matriz final'!$A$35),"")</f>
        <v/>
      </c>
      <c r="AM8" s="365"/>
      <c r="AN8" s="44"/>
      <c r="AO8" s="308"/>
      <c r="AP8" s="309"/>
      <c r="AQ8" s="309"/>
      <c r="AR8" s="309"/>
      <c r="AS8" s="309"/>
      <c r="AT8" s="310"/>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row>
    <row r="9" spans="1:99" ht="15" customHeight="1" x14ac:dyDescent="0.25">
      <c r="A9" s="44"/>
      <c r="B9" s="303"/>
      <c r="C9" s="303"/>
      <c r="D9" s="304"/>
      <c r="E9" s="344"/>
      <c r="F9" s="345"/>
      <c r="G9" s="345"/>
      <c r="H9" s="345"/>
      <c r="I9" s="346"/>
      <c r="J9" s="355"/>
      <c r="K9" s="352"/>
      <c r="L9" s="350"/>
      <c r="M9" s="350"/>
      <c r="N9" s="350"/>
      <c r="O9" s="351"/>
      <c r="P9" s="355"/>
      <c r="Q9" s="352"/>
      <c r="R9" s="350"/>
      <c r="S9" s="350"/>
      <c r="T9" s="350"/>
      <c r="U9" s="351"/>
      <c r="V9" s="355"/>
      <c r="W9" s="352"/>
      <c r="X9" s="350"/>
      <c r="Y9" s="350"/>
      <c r="Z9" s="350"/>
      <c r="AA9" s="351"/>
      <c r="AB9" s="355"/>
      <c r="AC9" s="352"/>
      <c r="AD9" s="350"/>
      <c r="AE9" s="350"/>
      <c r="AF9" s="350"/>
      <c r="AG9" s="351"/>
      <c r="AH9" s="363"/>
      <c r="AI9" s="364"/>
      <c r="AJ9" s="364"/>
      <c r="AK9" s="364"/>
      <c r="AL9" s="364"/>
      <c r="AM9" s="365"/>
      <c r="AN9" s="44"/>
      <c r="AO9" s="308"/>
      <c r="AP9" s="309"/>
      <c r="AQ9" s="309"/>
      <c r="AR9" s="309"/>
      <c r="AS9" s="309"/>
      <c r="AT9" s="310"/>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row>
    <row r="10" spans="1:99" ht="15" customHeight="1" x14ac:dyDescent="0.25">
      <c r="A10" s="44"/>
      <c r="B10" s="303"/>
      <c r="C10" s="303"/>
      <c r="D10" s="304"/>
      <c r="E10" s="344"/>
      <c r="F10" s="345"/>
      <c r="G10" s="345"/>
      <c r="H10" s="345"/>
      <c r="I10" s="346"/>
      <c r="J10" s="355" t="str">
        <f ca="1">IF(AND('Matriz final'!$H$41="Muy Alta",'Matriz final'!$L$41="Leve"),CONCATENATE("R",'Matriz final'!$A$41),"")</f>
        <v/>
      </c>
      <c r="K10" s="352"/>
      <c r="L10" s="350" t="str">
        <f ca="1">IF(AND('Matriz final'!$H$47="Muy Alta",'Matriz final'!$L$47="Leve"),CONCATENATE("R",'Matriz final'!$A$47),"")</f>
        <v/>
      </c>
      <c r="M10" s="350"/>
      <c r="N10" s="350" t="str">
        <f ca="1">IF(AND('Matriz final'!$H$53="Muy Alta",'Matriz final'!$L$53="Leve"),CONCATENATE("R",'Matriz final'!$A$53),"")</f>
        <v/>
      </c>
      <c r="O10" s="351"/>
      <c r="P10" s="355" t="str">
        <f ca="1">IF(AND('Matriz final'!$H$41="Muy Alta",'Matriz final'!$L$41="Menor"),CONCATENATE("R",'Matriz final'!$A$41),"")</f>
        <v/>
      </c>
      <c r="Q10" s="352"/>
      <c r="R10" s="350" t="str">
        <f ca="1">IF(AND('Matriz final'!$H$47="Muy Alta",'Matriz final'!$L$47="Menor"),CONCATENATE("R",'Matriz final'!$A$47),"")</f>
        <v/>
      </c>
      <c r="S10" s="350"/>
      <c r="T10" s="350" t="str">
        <f ca="1">IF(AND('Matriz final'!$H$53="Muy Alta",'Matriz final'!$L$53="Menor"),CONCATENATE("R",'Matriz final'!$A$53),"")</f>
        <v/>
      </c>
      <c r="U10" s="351"/>
      <c r="V10" s="355" t="str">
        <f ca="1">IF(AND('Matriz final'!$H$41="Muy Alta",'Matriz final'!$L$41="Moderado"),CONCATENATE("R",'Matriz final'!$A$41),"")</f>
        <v/>
      </c>
      <c r="W10" s="352"/>
      <c r="X10" s="350" t="str">
        <f ca="1">IF(AND('Matriz final'!$H$47="Muy Alta",'Matriz final'!$L$47="Moderado"),CONCATENATE("R",'Matriz final'!$A$47),"")</f>
        <v/>
      </c>
      <c r="Y10" s="350"/>
      <c r="Z10" s="350" t="str">
        <f ca="1">IF(AND('Matriz final'!$H$53="Muy Alta",'Matriz final'!$L$53="Moderado"),CONCATENATE("R",'Matriz final'!$A$53),"")</f>
        <v/>
      </c>
      <c r="AA10" s="351"/>
      <c r="AB10" s="355" t="str">
        <f ca="1">IF(AND('Matriz final'!$H$41="Muy Alta",'Matriz final'!$L$41="Mayor"),CONCATENATE("R",'Matriz final'!$A$41),"")</f>
        <v/>
      </c>
      <c r="AC10" s="352"/>
      <c r="AD10" s="350" t="str">
        <f ca="1">IF(AND('Matriz final'!$H$47="Muy Alta",'Matriz final'!$L$47="Mayor"),CONCATENATE("R",'Matriz final'!$A$47),"")</f>
        <v/>
      </c>
      <c r="AE10" s="350"/>
      <c r="AF10" s="350" t="str">
        <f ca="1">IF(AND('Matriz final'!$H$53="Muy Alta",'Matriz final'!$L$53="Mayor"),CONCATENATE("R",'Matriz final'!$A$53),"")</f>
        <v/>
      </c>
      <c r="AG10" s="351"/>
      <c r="AH10" s="363" t="str">
        <f ca="1">IF(AND('Matriz final'!$H$41="Muy Alta",'Matriz final'!$L$41="Catastrófico"),CONCATENATE("R",'Matriz final'!$A$41),"")</f>
        <v/>
      </c>
      <c r="AI10" s="364"/>
      <c r="AJ10" s="364" t="str">
        <f ca="1">IF(AND('Matriz final'!$H$47="Muy Alta",'Matriz final'!$L$47="Catastrófico"),CONCATENATE("R",'Matriz final'!$A$47),"")</f>
        <v/>
      </c>
      <c r="AK10" s="364"/>
      <c r="AL10" s="364" t="str">
        <f ca="1">IF(AND('Matriz final'!$H$53="Muy Alta",'Matriz final'!$L$53="Catastrófico"),CONCATENATE("R",'Matriz final'!$A$53),"")</f>
        <v/>
      </c>
      <c r="AM10" s="365"/>
      <c r="AN10" s="44"/>
      <c r="AO10" s="308"/>
      <c r="AP10" s="309"/>
      <c r="AQ10" s="309"/>
      <c r="AR10" s="309"/>
      <c r="AS10" s="309"/>
      <c r="AT10" s="310"/>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row>
    <row r="11" spans="1:99" ht="15" customHeight="1" x14ac:dyDescent="0.25">
      <c r="A11" s="44"/>
      <c r="B11" s="303"/>
      <c r="C11" s="303"/>
      <c r="D11" s="304"/>
      <c r="E11" s="344"/>
      <c r="F11" s="345"/>
      <c r="G11" s="345"/>
      <c r="H11" s="345"/>
      <c r="I11" s="346"/>
      <c r="J11" s="355"/>
      <c r="K11" s="352"/>
      <c r="L11" s="350"/>
      <c r="M11" s="350"/>
      <c r="N11" s="350"/>
      <c r="O11" s="351"/>
      <c r="P11" s="355"/>
      <c r="Q11" s="352"/>
      <c r="R11" s="350"/>
      <c r="S11" s="350"/>
      <c r="T11" s="350"/>
      <c r="U11" s="351"/>
      <c r="V11" s="355"/>
      <c r="W11" s="352"/>
      <c r="X11" s="350"/>
      <c r="Y11" s="350"/>
      <c r="Z11" s="350"/>
      <c r="AA11" s="351"/>
      <c r="AB11" s="355"/>
      <c r="AC11" s="352"/>
      <c r="AD11" s="350"/>
      <c r="AE11" s="350"/>
      <c r="AF11" s="350"/>
      <c r="AG11" s="351"/>
      <c r="AH11" s="363"/>
      <c r="AI11" s="364"/>
      <c r="AJ11" s="364"/>
      <c r="AK11" s="364"/>
      <c r="AL11" s="364"/>
      <c r="AM11" s="365"/>
      <c r="AN11" s="44"/>
      <c r="AO11" s="308"/>
      <c r="AP11" s="309"/>
      <c r="AQ11" s="309"/>
      <c r="AR11" s="309"/>
      <c r="AS11" s="309"/>
      <c r="AT11" s="310"/>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row>
    <row r="12" spans="1:99" ht="15" customHeight="1" x14ac:dyDescent="0.25">
      <c r="A12" s="44"/>
      <c r="B12" s="303"/>
      <c r="C12" s="303"/>
      <c r="D12" s="304"/>
      <c r="E12" s="344"/>
      <c r="F12" s="345"/>
      <c r="G12" s="345"/>
      <c r="H12" s="345"/>
      <c r="I12" s="346"/>
      <c r="J12" s="355" t="str">
        <f ca="1">IF(AND('Matriz final'!$H$59="Muy Alta",'Matriz final'!$L$59="Leve"),CONCATENATE("R",'Matriz final'!$A$59),"")</f>
        <v/>
      </c>
      <c r="K12" s="352"/>
      <c r="L12" s="350" t="str">
        <f>IF(AND('Matriz final'!$H$65="Muy Alta",'Matriz final'!$L$65="Leve"),CONCATENATE("R",'Matriz final'!$A$65),"")</f>
        <v/>
      </c>
      <c r="M12" s="350"/>
      <c r="N12" s="350" t="str">
        <f>IF(AND('Matriz final'!$H$71="Muy Alta",'Matriz final'!$L$71="Leve"),CONCATENATE("R",'Matriz final'!$A$71),"")</f>
        <v/>
      </c>
      <c r="O12" s="351"/>
      <c r="P12" s="355" t="str">
        <f ca="1">IF(AND('Matriz final'!$H$59="Muy Alta",'Matriz final'!$L$59="Menor"),CONCATENATE("R",'Matriz final'!$A$59),"")</f>
        <v/>
      </c>
      <c r="Q12" s="352"/>
      <c r="R12" s="350" t="str">
        <f>IF(AND('Matriz final'!$H$65="Muy Alta",'Matriz final'!$L$65="Menor"),CONCATENATE("R",'Matriz final'!$A$65),"")</f>
        <v/>
      </c>
      <c r="S12" s="350"/>
      <c r="T12" s="350" t="str">
        <f>IF(AND('Matriz final'!$H$71="Muy Alta",'Matriz final'!$L$71="Menor"),CONCATENATE("R",'Matriz final'!$A$71),"")</f>
        <v/>
      </c>
      <c r="U12" s="351"/>
      <c r="V12" s="355" t="str">
        <f ca="1">IF(AND('Matriz final'!$H$59="Muy Alta",'Matriz final'!$L$59="Moderado"),CONCATENATE("R",'Matriz final'!$A$59),"")</f>
        <v/>
      </c>
      <c r="W12" s="352"/>
      <c r="X12" s="350" t="str">
        <f>IF(AND('Matriz final'!$H$65="Muy Alta",'Matriz final'!$L$65="Moderado"),CONCATENATE("R",'Matriz final'!$A$65),"")</f>
        <v/>
      </c>
      <c r="Y12" s="350"/>
      <c r="Z12" s="350" t="str">
        <f>IF(AND('Matriz final'!$H$71="Muy Alta",'Matriz final'!$L$71="Moderado"),CONCATENATE("R",'Matriz final'!$A$71),"")</f>
        <v/>
      </c>
      <c r="AA12" s="351"/>
      <c r="AB12" s="355" t="str">
        <f ca="1">IF(AND('Matriz final'!$H$59="Muy Alta",'Matriz final'!$L$59="Mayor"),CONCATENATE("R",'Matriz final'!$A$59),"")</f>
        <v/>
      </c>
      <c r="AC12" s="352"/>
      <c r="AD12" s="350" t="str">
        <f>IF(AND('Matriz final'!$H$65="Muy Alta",'Matriz final'!$L$65="Mayor"),CONCATENATE("R",'Matriz final'!$A$65),"")</f>
        <v/>
      </c>
      <c r="AE12" s="350"/>
      <c r="AF12" s="350" t="str">
        <f>IF(AND('Matriz final'!$H$71="Muy Alta",'Matriz final'!$L$71="Mayor"),CONCATENATE("R",'Matriz final'!$A$71),"")</f>
        <v/>
      </c>
      <c r="AG12" s="351"/>
      <c r="AH12" s="363" t="str">
        <f ca="1">IF(AND('Matriz final'!$H$59="Muy Alta",'Matriz final'!$L$59="Catastrófico"),CONCATENATE("R",'Matriz final'!$A$59),"")</f>
        <v/>
      </c>
      <c r="AI12" s="364"/>
      <c r="AJ12" s="364" t="str">
        <f>IF(AND('Matriz final'!$H$65="Muy Alta",'Matriz final'!$L$65="Catastrófico"),CONCATENATE("R",'Matriz final'!$A$65),"")</f>
        <v/>
      </c>
      <c r="AK12" s="364"/>
      <c r="AL12" s="364" t="str">
        <f>IF(AND('Matriz final'!$H$71="Muy Alta",'Matriz final'!$L$71="Catastrófico"),CONCATENATE("R",'Matriz final'!$A$71),"")</f>
        <v/>
      </c>
      <c r="AM12" s="365"/>
      <c r="AN12" s="44"/>
      <c r="AO12" s="308"/>
      <c r="AP12" s="309"/>
      <c r="AQ12" s="309"/>
      <c r="AR12" s="309"/>
      <c r="AS12" s="309"/>
      <c r="AT12" s="310"/>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row>
    <row r="13" spans="1:99" ht="15.75" customHeight="1" thickBot="1" x14ac:dyDescent="0.3">
      <c r="A13" s="44"/>
      <c r="B13" s="303"/>
      <c r="C13" s="303"/>
      <c r="D13" s="304"/>
      <c r="E13" s="347"/>
      <c r="F13" s="348"/>
      <c r="G13" s="348"/>
      <c r="H13" s="348"/>
      <c r="I13" s="349"/>
      <c r="J13" s="355"/>
      <c r="K13" s="352"/>
      <c r="L13" s="352"/>
      <c r="M13" s="352"/>
      <c r="N13" s="352"/>
      <c r="O13" s="351"/>
      <c r="P13" s="355"/>
      <c r="Q13" s="352"/>
      <c r="R13" s="352"/>
      <c r="S13" s="352"/>
      <c r="T13" s="352"/>
      <c r="U13" s="351"/>
      <c r="V13" s="355"/>
      <c r="W13" s="352"/>
      <c r="X13" s="352"/>
      <c r="Y13" s="352"/>
      <c r="Z13" s="352"/>
      <c r="AA13" s="351"/>
      <c r="AB13" s="355"/>
      <c r="AC13" s="352"/>
      <c r="AD13" s="352"/>
      <c r="AE13" s="352"/>
      <c r="AF13" s="352"/>
      <c r="AG13" s="351"/>
      <c r="AH13" s="366"/>
      <c r="AI13" s="367"/>
      <c r="AJ13" s="367"/>
      <c r="AK13" s="367"/>
      <c r="AL13" s="367"/>
      <c r="AM13" s="368"/>
      <c r="AN13" s="44"/>
      <c r="AO13" s="311"/>
      <c r="AP13" s="312"/>
      <c r="AQ13" s="312"/>
      <c r="AR13" s="312"/>
      <c r="AS13" s="312"/>
      <c r="AT13" s="313"/>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row>
    <row r="14" spans="1:99" ht="15" customHeight="1" x14ac:dyDescent="0.25">
      <c r="A14" s="44"/>
      <c r="B14" s="303"/>
      <c r="C14" s="303"/>
      <c r="D14" s="304"/>
      <c r="E14" s="341" t="s">
        <v>114</v>
      </c>
      <c r="F14" s="342"/>
      <c r="G14" s="342"/>
      <c r="H14" s="342"/>
      <c r="I14" s="342"/>
      <c r="J14" s="378" t="str">
        <f ca="1">IF(AND('Matriz final'!$H$12="Alta",'Matriz final'!$L$12="Leve"),CONCATENATE("R",'Matriz final'!$A$12),"")</f>
        <v/>
      </c>
      <c r="K14" s="379"/>
      <c r="L14" s="379" t="e">
        <f>IF(AND('Matriz final'!#REF!="Alta",'Matriz final'!#REF!="Leve"),CONCATENATE("R",'Matriz final'!#REF!),"")</f>
        <v>#REF!</v>
      </c>
      <c r="M14" s="379"/>
      <c r="N14" s="379" t="str">
        <f ca="1">IF(AND('Matriz final'!$H$17="Alta",'Matriz final'!$L$17="Leve"),CONCATENATE("R",'Matriz final'!$A$17),"")</f>
        <v/>
      </c>
      <c r="O14" s="380"/>
      <c r="P14" s="378" t="str">
        <f ca="1">IF(AND('Matriz final'!$H$12="Alta",'Matriz final'!$L$12="Menor"),CONCATENATE("R",'Matriz final'!$A$12),"")</f>
        <v/>
      </c>
      <c r="Q14" s="379"/>
      <c r="R14" s="379" t="e">
        <f>IF(AND('Matriz final'!#REF!="Alta",'Matriz final'!#REF!="Menor"),CONCATENATE("R",'Matriz final'!#REF!),"")</f>
        <v>#REF!</v>
      </c>
      <c r="S14" s="379"/>
      <c r="T14" s="379" t="str">
        <f ca="1">IF(AND('Matriz final'!$H$17="Alta",'Matriz final'!$L$17="Menor"),CONCATENATE("R",'Matriz final'!$A$17),"")</f>
        <v/>
      </c>
      <c r="U14" s="380"/>
      <c r="V14" s="353" t="str">
        <f ca="1">IF(AND('Matriz final'!$H$12="Alta",'Matriz final'!$L$12="Moderado"),CONCATENATE("R",'Matriz final'!$A$12),"")</f>
        <v/>
      </c>
      <c r="W14" s="354"/>
      <c r="X14" s="354" t="e">
        <f>IF(AND('Matriz final'!#REF!="Alta",'Matriz final'!#REF!="Moderado"),CONCATENATE("R",'Matriz final'!#REF!),"")</f>
        <v>#REF!</v>
      </c>
      <c r="Y14" s="354"/>
      <c r="Z14" s="354" t="str">
        <f ca="1">IF(AND('Matriz final'!$H$17="Alta",'Matriz final'!$L$17="Moderado"),CONCATENATE("R",'Matriz final'!$A$17),"")</f>
        <v/>
      </c>
      <c r="AA14" s="356"/>
      <c r="AB14" s="353" t="str">
        <f ca="1">IF(AND('Matriz final'!$H$12="Alta",'Matriz final'!$L$12="Mayor"),CONCATENATE("R",'Matriz final'!$A$12),"")</f>
        <v/>
      </c>
      <c r="AC14" s="354"/>
      <c r="AD14" s="354" t="e">
        <f>IF(AND('Matriz final'!#REF!="Alta",'Matriz final'!#REF!="Mayor"),CONCATENATE("R",'Matriz final'!#REF!),"")</f>
        <v>#REF!</v>
      </c>
      <c r="AE14" s="354"/>
      <c r="AF14" s="354" t="str">
        <f ca="1">IF(AND('Matriz final'!$H$17="Alta",'Matriz final'!$L$17="Mayor"),CONCATENATE("R",'Matriz final'!$A$17),"")</f>
        <v/>
      </c>
      <c r="AG14" s="356"/>
      <c r="AH14" s="369" t="str">
        <f ca="1">IF(AND('Matriz final'!$H$12="Alta",'Matriz final'!$L$12="Catastrófico"),CONCATENATE("R",'Matriz final'!$A$12),"")</f>
        <v/>
      </c>
      <c r="AI14" s="370"/>
      <c r="AJ14" s="370" t="e">
        <f>IF(AND('Matriz final'!#REF!="Alta",'Matriz final'!#REF!="Catastrófico"),CONCATENATE("R",'Matriz final'!#REF!),"")</f>
        <v>#REF!</v>
      </c>
      <c r="AK14" s="370"/>
      <c r="AL14" s="370" t="str">
        <f ca="1">IF(AND('Matriz final'!$H$17="Alta",'Matriz final'!$L$17="Catastrófico"),CONCATENATE("R",'Matriz final'!$A$17),"")</f>
        <v/>
      </c>
      <c r="AM14" s="371"/>
      <c r="AN14" s="44"/>
      <c r="AO14" s="314" t="s">
        <v>79</v>
      </c>
      <c r="AP14" s="315"/>
      <c r="AQ14" s="315"/>
      <c r="AR14" s="315"/>
      <c r="AS14" s="315"/>
      <c r="AT14" s="316"/>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row>
    <row r="15" spans="1:99" ht="15" customHeight="1" x14ac:dyDescent="0.25">
      <c r="A15" s="44"/>
      <c r="B15" s="303"/>
      <c r="C15" s="303"/>
      <c r="D15" s="304"/>
      <c r="E15" s="344"/>
      <c r="F15" s="345"/>
      <c r="G15" s="345"/>
      <c r="H15" s="345"/>
      <c r="I15" s="358"/>
      <c r="J15" s="372"/>
      <c r="K15" s="373"/>
      <c r="L15" s="373"/>
      <c r="M15" s="373"/>
      <c r="N15" s="373"/>
      <c r="O15" s="374"/>
      <c r="P15" s="372"/>
      <c r="Q15" s="373"/>
      <c r="R15" s="373"/>
      <c r="S15" s="373"/>
      <c r="T15" s="373"/>
      <c r="U15" s="374"/>
      <c r="V15" s="355"/>
      <c r="W15" s="352"/>
      <c r="X15" s="352"/>
      <c r="Y15" s="352"/>
      <c r="Z15" s="352"/>
      <c r="AA15" s="351"/>
      <c r="AB15" s="355"/>
      <c r="AC15" s="352"/>
      <c r="AD15" s="352"/>
      <c r="AE15" s="352"/>
      <c r="AF15" s="352"/>
      <c r="AG15" s="351"/>
      <c r="AH15" s="363"/>
      <c r="AI15" s="364"/>
      <c r="AJ15" s="364"/>
      <c r="AK15" s="364"/>
      <c r="AL15" s="364"/>
      <c r="AM15" s="365"/>
      <c r="AN15" s="44"/>
      <c r="AO15" s="317"/>
      <c r="AP15" s="318"/>
      <c r="AQ15" s="318"/>
      <c r="AR15" s="318"/>
      <c r="AS15" s="318"/>
      <c r="AT15" s="319"/>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row>
    <row r="16" spans="1:99" ht="15" customHeight="1" x14ac:dyDescent="0.25">
      <c r="A16" s="44"/>
      <c r="B16" s="303"/>
      <c r="C16" s="303"/>
      <c r="D16" s="304"/>
      <c r="E16" s="344"/>
      <c r="F16" s="345"/>
      <c r="G16" s="345"/>
      <c r="H16" s="345"/>
      <c r="I16" s="358"/>
      <c r="J16" s="372" t="str">
        <f ca="1">IF(AND('Matriz final'!$H$23="Alta",'Matriz final'!$L$23="Leve"),CONCATENATE("R",'Matriz final'!$A$23),"")</f>
        <v/>
      </c>
      <c r="K16" s="373"/>
      <c r="L16" s="373" t="str">
        <f ca="1">IF(AND('Matriz final'!$H$29="Alta",'Matriz final'!$L$29="Leve"),CONCATENATE("R",'Matriz final'!$A$29),"")</f>
        <v/>
      </c>
      <c r="M16" s="373"/>
      <c r="N16" s="373" t="str">
        <f ca="1">IF(AND('Matriz final'!$H$35="Alta",'Matriz final'!$L$35="Leve"),CONCATENATE("R",'Matriz final'!$A$35),"")</f>
        <v/>
      </c>
      <c r="O16" s="374"/>
      <c r="P16" s="372" t="str">
        <f ca="1">IF(AND('Matriz final'!$H$23="Alta",'Matriz final'!$L$23="Menor"),CONCATENATE("R",'Matriz final'!$A$23),"")</f>
        <v/>
      </c>
      <c r="Q16" s="373"/>
      <c r="R16" s="373" t="str">
        <f ca="1">IF(AND('Matriz final'!$H$29="Alta",'Matriz final'!$L$29="Menor"),CONCATENATE("R",'Matriz final'!$A$29),"")</f>
        <v/>
      </c>
      <c r="S16" s="373"/>
      <c r="T16" s="373" t="str">
        <f ca="1">IF(AND('Matriz final'!$H$35="Alta",'Matriz final'!$L$35="Menor"),CONCATENATE("R",'Matriz final'!$A$35),"")</f>
        <v/>
      </c>
      <c r="U16" s="374"/>
      <c r="V16" s="355" t="str">
        <f ca="1">IF(AND('Matriz final'!$H$23="Alta",'Matriz final'!$L$23="Moderado"),CONCATENATE("R",'Matriz final'!$A$23),"")</f>
        <v/>
      </c>
      <c r="W16" s="352"/>
      <c r="X16" s="350" t="str">
        <f ca="1">IF(AND('Matriz final'!$H$29="Alta",'Matriz final'!$L$29="Moderado"),CONCATENATE("R",'Matriz final'!$A$29),"")</f>
        <v/>
      </c>
      <c r="Y16" s="350"/>
      <c r="Z16" s="350" t="str">
        <f ca="1">IF(AND('Matriz final'!$H$35="Alta",'Matriz final'!$L$35="Moderado"),CONCATENATE("R",'Matriz final'!$A$35),"")</f>
        <v/>
      </c>
      <c r="AA16" s="351"/>
      <c r="AB16" s="355" t="str">
        <f ca="1">IF(AND('Matriz final'!$H$23="Alta",'Matriz final'!$L$23="Mayor"),CONCATENATE("R",'Matriz final'!$A$23),"")</f>
        <v/>
      </c>
      <c r="AC16" s="352"/>
      <c r="AD16" s="350" t="str">
        <f ca="1">IF(AND('Matriz final'!$H$29="Alta",'Matriz final'!$L$29="Mayor"),CONCATENATE("R",'Matriz final'!$A$29),"")</f>
        <v/>
      </c>
      <c r="AE16" s="350"/>
      <c r="AF16" s="350" t="str">
        <f ca="1">IF(AND('Matriz final'!$H$35="Alta",'Matriz final'!$L$35="Mayor"),CONCATENATE("R",'Matriz final'!$A$35),"")</f>
        <v/>
      </c>
      <c r="AG16" s="351"/>
      <c r="AH16" s="363" t="str">
        <f ca="1">IF(AND('Matriz final'!$H$23="Alta",'Matriz final'!$L$23="Catastrófico"),CONCATENATE("R",'Matriz final'!$A$23),"")</f>
        <v/>
      </c>
      <c r="AI16" s="364"/>
      <c r="AJ16" s="364" t="str">
        <f ca="1">IF(AND('Matriz final'!$H$29="Alta",'Matriz final'!$L$29="Catastrófico"),CONCATENATE("R",'Matriz final'!$A$29),"")</f>
        <v/>
      </c>
      <c r="AK16" s="364"/>
      <c r="AL16" s="364" t="str">
        <f ca="1">IF(AND('Matriz final'!$H$35="Alta",'Matriz final'!$L$35="Catastrófico"),CONCATENATE("R",'Matriz final'!$A$35),"")</f>
        <v/>
      </c>
      <c r="AM16" s="365"/>
      <c r="AN16" s="44"/>
      <c r="AO16" s="317"/>
      <c r="AP16" s="318"/>
      <c r="AQ16" s="318"/>
      <c r="AR16" s="318"/>
      <c r="AS16" s="318"/>
      <c r="AT16" s="319"/>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row>
    <row r="17" spans="1:80" ht="15" customHeight="1" x14ac:dyDescent="0.25">
      <c r="A17" s="44"/>
      <c r="B17" s="303"/>
      <c r="C17" s="303"/>
      <c r="D17" s="304"/>
      <c r="E17" s="344"/>
      <c r="F17" s="345"/>
      <c r="G17" s="345"/>
      <c r="H17" s="345"/>
      <c r="I17" s="358"/>
      <c r="J17" s="372"/>
      <c r="K17" s="373"/>
      <c r="L17" s="373"/>
      <c r="M17" s="373"/>
      <c r="N17" s="373"/>
      <c r="O17" s="374"/>
      <c r="P17" s="372"/>
      <c r="Q17" s="373"/>
      <c r="R17" s="373"/>
      <c r="S17" s="373"/>
      <c r="T17" s="373"/>
      <c r="U17" s="374"/>
      <c r="V17" s="355"/>
      <c r="W17" s="352"/>
      <c r="X17" s="350"/>
      <c r="Y17" s="350"/>
      <c r="Z17" s="350"/>
      <c r="AA17" s="351"/>
      <c r="AB17" s="355"/>
      <c r="AC17" s="352"/>
      <c r="AD17" s="350"/>
      <c r="AE17" s="350"/>
      <c r="AF17" s="350"/>
      <c r="AG17" s="351"/>
      <c r="AH17" s="363"/>
      <c r="AI17" s="364"/>
      <c r="AJ17" s="364"/>
      <c r="AK17" s="364"/>
      <c r="AL17" s="364"/>
      <c r="AM17" s="365"/>
      <c r="AN17" s="44"/>
      <c r="AO17" s="317"/>
      <c r="AP17" s="318"/>
      <c r="AQ17" s="318"/>
      <c r="AR17" s="318"/>
      <c r="AS17" s="318"/>
      <c r="AT17" s="319"/>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row>
    <row r="18" spans="1:80" ht="15" customHeight="1" x14ac:dyDescent="0.25">
      <c r="A18" s="44"/>
      <c r="B18" s="303"/>
      <c r="C18" s="303"/>
      <c r="D18" s="304"/>
      <c r="E18" s="344"/>
      <c r="F18" s="345"/>
      <c r="G18" s="345"/>
      <c r="H18" s="345"/>
      <c r="I18" s="358"/>
      <c r="J18" s="372" t="str">
        <f ca="1">IF(AND('Matriz final'!$H$41="Alta",'Matriz final'!$L$41="Leve"),CONCATENATE("R",'Matriz final'!$A$41),"")</f>
        <v/>
      </c>
      <c r="K18" s="373"/>
      <c r="L18" s="373" t="str">
        <f ca="1">IF(AND('Matriz final'!$H$47="Alta",'Matriz final'!$L$47="Leve"),CONCATENATE("R",'Matriz final'!$A$47),"")</f>
        <v/>
      </c>
      <c r="M18" s="373"/>
      <c r="N18" s="373" t="str">
        <f ca="1">IF(AND('Matriz final'!$H$53="Alta",'Matriz final'!$L$53="Leve"),CONCATENATE("R",'Matriz final'!$A$53),"")</f>
        <v/>
      </c>
      <c r="O18" s="374"/>
      <c r="P18" s="372" t="str">
        <f ca="1">IF(AND('Matriz final'!$H$41="Alta",'Matriz final'!$L$41="Menor"),CONCATENATE("R",'Matriz final'!$A$41),"")</f>
        <v/>
      </c>
      <c r="Q18" s="373"/>
      <c r="R18" s="373" t="str">
        <f ca="1">IF(AND('Matriz final'!$H$47="Alta",'Matriz final'!$L$47="Menor"),CONCATENATE("R",'Matriz final'!$A$47),"")</f>
        <v/>
      </c>
      <c r="S18" s="373"/>
      <c r="T18" s="373" t="str">
        <f ca="1">IF(AND('Matriz final'!$H$53="Alta",'Matriz final'!$L$53="Menor"),CONCATENATE("R",'Matriz final'!$A$53),"")</f>
        <v/>
      </c>
      <c r="U18" s="374"/>
      <c r="V18" s="355" t="str">
        <f ca="1">IF(AND('Matriz final'!$H$41="Alta",'Matriz final'!$L$41="Moderado"),CONCATENATE("R",'Matriz final'!$A$41),"")</f>
        <v/>
      </c>
      <c r="W18" s="352"/>
      <c r="X18" s="350" t="str">
        <f ca="1">IF(AND('Matriz final'!$H$47="Alta",'Matriz final'!$L$47="Moderado"),CONCATENATE("R",'Matriz final'!$A$47),"")</f>
        <v/>
      </c>
      <c r="Y18" s="350"/>
      <c r="Z18" s="350" t="str">
        <f ca="1">IF(AND('Matriz final'!$H$53="Alta",'Matriz final'!$L$53="Moderado"),CONCATENATE("R",'Matriz final'!$A$53),"")</f>
        <v/>
      </c>
      <c r="AA18" s="351"/>
      <c r="AB18" s="355" t="str">
        <f ca="1">IF(AND('Matriz final'!$H$41="Alta",'Matriz final'!$L$41="Mayor"),CONCATENATE("R",'Matriz final'!$A$41),"")</f>
        <v/>
      </c>
      <c r="AC18" s="352"/>
      <c r="AD18" s="350" t="str">
        <f ca="1">IF(AND('Matriz final'!$H$47="Alta",'Matriz final'!$L$47="Mayor"),CONCATENATE("R",'Matriz final'!$A$47),"")</f>
        <v/>
      </c>
      <c r="AE18" s="350"/>
      <c r="AF18" s="350" t="str">
        <f ca="1">IF(AND('Matriz final'!$H$53="Alta",'Matriz final'!$L$53="Mayor"),CONCATENATE("R",'Matriz final'!$A$53),"")</f>
        <v/>
      </c>
      <c r="AG18" s="351"/>
      <c r="AH18" s="363" t="str">
        <f ca="1">IF(AND('Matriz final'!$H$41="Alta",'Matriz final'!$L$41="Catastrófico"),CONCATENATE("R",'Matriz final'!$A$41),"")</f>
        <v/>
      </c>
      <c r="AI18" s="364"/>
      <c r="AJ18" s="364" t="str">
        <f ca="1">IF(AND('Matriz final'!$H$47="Alta",'Matriz final'!$L$47="Catastrófico"),CONCATENATE("R",'Matriz final'!$A$47),"")</f>
        <v/>
      </c>
      <c r="AK18" s="364"/>
      <c r="AL18" s="364" t="str">
        <f ca="1">IF(AND('Matriz final'!$H$53="Alta",'Matriz final'!$L$53="Catastrófico"),CONCATENATE("R",'Matriz final'!$A$53),"")</f>
        <v/>
      </c>
      <c r="AM18" s="365"/>
      <c r="AN18" s="44"/>
      <c r="AO18" s="317"/>
      <c r="AP18" s="318"/>
      <c r="AQ18" s="318"/>
      <c r="AR18" s="318"/>
      <c r="AS18" s="318"/>
      <c r="AT18" s="319"/>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row>
    <row r="19" spans="1:80" ht="15" customHeight="1" x14ac:dyDescent="0.25">
      <c r="A19" s="44"/>
      <c r="B19" s="303"/>
      <c r="C19" s="303"/>
      <c r="D19" s="304"/>
      <c r="E19" s="344"/>
      <c r="F19" s="345"/>
      <c r="G19" s="345"/>
      <c r="H19" s="345"/>
      <c r="I19" s="358"/>
      <c r="J19" s="372"/>
      <c r="K19" s="373"/>
      <c r="L19" s="373"/>
      <c r="M19" s="373"/>
      <c r="N19" s="373"/>
      <c r="O19" s="374"/>
      <c r="P19" s="372"/>
      <c r="Q19" s="373"/>
      <c r="R19" s="373"/>
      <c r="S19" s="373"/>
      <c r="T19" s="373"/>
      <c r="U19" s="374"/>
      <c r="V19" s="355"/>
      <c r="W19" s="352"/>
      <c r="X19" s="350"/>
      <c r="Y19" s="350"/>
      <c r="Z19" s="350"/>
      <c r="AA19" s="351"/>
      <c r="AB19" s="355"/>
      <c r="AC19" s="352"/>
      <c r="AD19" s="350"/>
      <c r="AE19" s="350"/>
      <c r="AF19" s="350"/>
      <c r="AG19" s="351"/>
      <c r="AH19" s="363"/>
      <c r="AI19" s="364"/>
      <c r="AJ19" s="364"/>
      <c r="AK19" s="364"/>
      <c r="AL19" s="364"/>
      <c r="AM19" s="365"/>
      <c r="AN19" s="44"/>
      <c r="AO19" s="317"/>
      <c r="AP19" s="318"/>
      <c r="AQ19" s="318"/>
      <c r="AR19" s="318"/>
      <c r="AS19" s="318"/>
      <c r="AT19" s="319"/>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row>
    <row r="20" spans="1:80" ht="15" customHeight="1" x14ac:dyDescent="0.25">
      <c r="A20" s="44"/>
      <c r="B20" s="303"/>
      <c r="C20" s="303"/>
      <c r="D20" s="304"/>
      <c r="E20" s="344"/>
      <c r="F20" s="345"/>
      <c r="G20" s="345"/>
      <c r="H20" s="345"/>
      <c r="I20" s="358"/>
      <c r="J20" s="372" t="str">
        <f ca="1">IF(AND('Matriz final'!$H$59="Alta",'Matriz final'!$L$59="Leve"),CONCATENATE("R",'Matriz final'!$A$59),"")</f>
        <v/>
      </c>
      <c r="K20" s="373"/>
      <c r="L20" s="373" t="str">
        <f>IF(AND('Matriz final'!$H$65="Alta",'Matriz final'!$L$65="Leve"),CONCATENATE("R",'Matriz final'!$A$65),"")</f>
        <v/>
      </c>
      <c r="M20" s="373"/>
      <c r="N20" s="373" t="str">
        <f>IF(AND('Matriz final'!$H$71="Alta",'Matriz final'!$L$71="Leve"),CONCATENATE("R",'Matriz final'!$A$71),"")</f>
        <v/>
      </c>
      <c r="O20" s="374"/>
      <c r="P20" s="372" t="str">
        <f ca="1">IF(AND('Matriz final'!$H$59="Alta",'Matriz final'!$L$59="Menor"),CONCATENATE("R",'Matriz final'!$A$59),"")</f>
        <v/>
      </c>
      <c r="Q20" s="373"/>
      <c r="R20" s="373" t="str">
        <f>IF(AND('Matriz final'!$H$65="Alta",'Matriz final'!$L$65="Menor"),CONCATENATE("R",'Matriz final'!$A$65),"")</f>
        <v/>
      </c>
      <c r="S20" s="373"/>
      <c r="T20" s="373" t="str">
        <f>IF(AND('Matriz final'!$H$71="Alta",'Matriz final'!$L$71="Menor"),CONCATENATE("R",'Matriz final'!$A$71),"")</f>
        <v/>
      </c>
      <c r="U20" s="374"/>
      <c r="V20" s="355" t="str">
        <f ca="1">IF(AND('Matriz final'!$H$59="Alta",'Matriz final'!$L$59="Moderado"),CONCATENATE("R",'Matriz final'!$A$59),"")</f>
        <v/>
      </c>
      <c r="W20" s="352"/>
      <c r="X20" s="350" t="str">
        <f>IF(AND('Matriz final'!$H$65="Alta",'Matriz final'!$L$65="Moderado"),CONCATENATE("R",'Matriz final'!$A$65),"")</f>
        <v/>
      </c>
      <c r="Y20" s="350"/>
      <c r="Z20" s="350" t="str">
        <f>IF(AND('Matriz final'!$H$71="Alta",'Matriz final'!$L$71="Moderado"),CONCATENATE("R",'Matriz final'!$A$71),"")</f>
        <v/>
      </c>
      <c r="AA20" s="351"/>
      <c r="AB20" s="355" t="str">
        <f ca="1">IF(AND('Matriz final'!$H$59="Alta",'Matriz final'!$L$59="Mayor"),CONCATENATE("R",'Matriz final'!$A$59),"")</f>
        <v/>
      </c>
      <c r="AC20" s="352"/>
      <c r="AD20" s="350" t="str">
        <f>IF(AND('Matriz final'!$H$65="Alta",'Matriz final'!$L$65="Mayor"),CONCATENATE("R",'Matriz final'!$A$65),"")</f>
        <v/>
      </c>
      <c r="AE20" s="350"/>
      <c r="AF20" s="350" t="str">
        <f>IF(AND('Matriz final'!$H$71="Alta",'Matriz final'!$L$71="Mayor"),CONCATENATE("R",'Matriz final'!$A$71),"")</f>
        <v/>
      </c>
      <c r="AG20" s="351"/>
      <c r="AH20" s="363" t="str">
        <f ca="1">IF(AND('Matriz final'!$H$59="Alta",'Matriz final'!$L$59="Catastrófico"),CONCATENATE("R",'Matriz final'!$A$59),"")</f>
        <v/>
      </c>
      <c r="AI20" s="364"/>
      <c r="AJ20" s="364" t="str">
        <f>IF(AND('Matriz final'!$H$65="Alta",'Matriz final'!$L$65="Catastrófico"),CONCATENATE("R",'Matriz final'!$A$65),"")</f>
        <v/>
      </c>
      <c r="AK20" s="364"/>
      <c r="AL20" s="364" t="str">
        <f>IF(AND('Matriz final'!$H$71="Alta",'Matriz final'!$L$71="Catastrófico"),CONCATENATE("R",'Matriz final'!$A$71),"")</f>
        <v/>
      </c>
      <c r="AM20" s="365"/>
      <c r="AN20" s="44"/>
      <c r="AO20" s="317"/>
      <c r="AP20" s="318"/>
      <c r="AQ20" s="318"/>
      <c r="AR20" s="318"/>
      <c r="AS20" s="318"/>
      <c r="AT20" s="319"/>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row>
    <row r="21" spans="1:80" ht="15.75" customHeight="1" thickBot="1" x14ac:dyDescent="0.3">
      <c r="A21" s="44"/>
      <c r="B21" s="303"/>
      <c r="C21" s="303"/>
      <c r="D21" s="304"/>
      <c r="E21" s="347"/>
      <c r="F21" s="348"/>
      <c r="G21" s="348"/>
      <c r="H21" s="348"/>
      <c r="I21" s="348"/>
      <c r="J21" s="375"/>
      <c r="K21" s="376"/>
      <c r="L21" s="376"/>
      <c r="M21" s="376"/>
      <c r="N21" s="376"/>
      <c r="O21" s="377"/>
      <c r="P21" s="375"/>
      <c r="Q21" s="376"/>
      <c r="R21" s="376"/>
      <c r="S21" s="376"/>
      <c r="T21" s="376"/>
      <c r="U21" s="377"/>
      <c r="V21" s="360"/>
      <c r="W21" s="361"/>
      <c r="X21" s="361"/>
      <c r="Y21" s="361"/>
      <c r="Z21" s="361"/>
      <c r="AA21" s="362"/>
      <c r="AB21" s="360"/>
      <c r="AC21" s="361"/>
      <c r="AD21" s="361"/>
      <c r="AE21" s="361"/>
      <c r="AF21" s="361"/>
      <c r="AG21" s="362"/>
      <c r="AH21" s="366"/>
      <c r="AI21" s="367"/>
      <c r="AJ21" s="367"/>
      <c r="AK21" s="367"/>
      <c r="AL21" s="367"/>
      <c r="AM21" s="368"/>
      <c r="AN21" s="44"/>
      <c r="AO21" s="320"/>
      <c r="AP21" s="321"/>
      <c r="AQ21" s="321"/>
      <c r="AR21" s="321"/>
      <c r="AS21" s="321"/>
      <c r="AT21" s="322"/>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row>
    <row r="22" spans="1:80" ht="15" customHeight="1" x14ac:dyDescent="0.25">
      <c r="A22" s="44"/>
      <c r="B22" s="303"/>
      <c r="C22" s="303"/>
      <c r="D22" s="304"/>
      <c r="E22" s="341" t="s">
        <v>116</v>
      </c>
      <c r="F22" s="342"/>
      <c r="G22" s="342"/>
      <c r="H22" s="342"/>
      <c r="I22" s="343"/>
      <c r="J22" s="378" t="str">
        <f ca="1">IF(AND('Matriz final'!$H$12="Media",'Matriz final'!$L$12="Leve"),CONCATENATE("R",'Matriz final'!$A$12),"")</f>
        <v/>
      </c>
      <c r="K22" s="379"/>
      <c r="L22" s="379" t="e">
        <f>IF(AND('Matriz final'!#REF!="Media",'Matriz final'!#REF!="Leve"),CONCATENATE("R",'Matriz final'!#REF!),"")</f>
        <v>#REF!</v>
      </c>
      <c r="M22" s="379"/>
      <c r="N22" s="379" t="str">
        <f ca="1">IF(AND('Matriz final'!$H$17="Media",'Matriz final'!$L$17="Leve"),CONCATENATE("R",'Matriz final'!$A$17),"")</f>
        <v/>
      </c>
      <c r="O22" s="380"/>
      <c r="P22" s="372" t="str">
        <f ca="1">IF(AND('Matriz final'!$H$23="Media",'Matriz final'!$L$23="Menor"),CONCATENATE("R",'Matriz final'!$A$23),"")</f>
        <v/>
      </c>
      <c r="Q22" s="373"/>
      <c r="R22" s="379" t="e">
        <f>IF(AND('Matriz final'!#REF!="Media",'Matriz final'!#REF!="Menor"),CONCATENATE("R",'Matriz final'!#REF!),"")</f>
        <v>#REF!</v>
      </c>
      <c r="S22" s="379"/>
      <c r="T22" s="379" t="str">
        <f ca="1">IF(AND('Matriz final'!$H$17="Media",'Matriz final'!$L$17="Menor"),CONCATENATE("R",'Matriz final'!$A$17),"")</f>
        <v/>
      </c>
      <c r="U22" s="380"/>
      <c r="V22" s="378" t="str">
        <f ca="1">IF(AND('Matriz final'!$H$12="Media",'Matriz final'!$L$12="Moderado"),CONCATENATE("R",'Matriz final'!$A$12),"")</f>
        <v/>
      </c>
      <c r="W22" s="379"/>
      <c r="X22" s="379" t="e">
        <f>IF(AND('Matriz final'!#REF!="Media",'Matriz final'!#REF!="Moderado"),CONCATENATE("R",'Matriz final'!#REF!),"")</f>
        <v>#REF!</v>
      </c>
      <c r="Y22" s="379"/>
      <c r="Z22" s="379" t="str">
        <f ca="1">IF(AND('Matriz final'!$H$17="Media",'Matriz final'!$L$17="Moderado"),CONCATENATE("R",'Matriz final'!$A$17),"")</f>
        <v/>
      </c>
      <c r="AA22" s="380"/>
      <c r="AB22" s="353" t="str">
        <f ca="1">IF(AND('Matriz final'!$H$12="Media",'Matriz final'!$L$12="Mayor"),CONCATENATE("R",'Matriz final'!$A$12),"")</f>
        <v/>
      </c>
      <c r="AC22" s="354"/>
      <c r="AD22" s="354" t="e">
        <f>IF(AND('Matriz final'!#REF!="Media",'Matriz final'!#REF!="Mayor"),CONCATENATE("R",'Matriz final'!#REF!),"")</f>
        <v>#REF!</v>
      </c>
      <c r="AE22" s="354"/>
      <c r="AF22" s="354" t="str">
        <f ca="1">IF(AND('Matriz final'!$H$17="Media",'Matriz final'!$L$17="Mayor"),CONCATENATE("R",'Matriz final'!$A$17),"")</f>
        <v>R5</v>
      </c>
      <c r="AG22" s="356"/>
      <c r="AH22" s="369" t="str">
        <f ca="1">IF(AND('Matriz final'!$H$12="Media",'Matriz final'!$L$12="Catastrófico"),CONCATENATE("R",'Matriz final'!$A$12),"")</f>
        <v/>
      </c>
      <c r="AI22" s="370"/>
      <c r="AJ22" s="370" t="e">
        <f>IF(AND('Matriz final'!#REF!="Media",'Matriz final'!#REF!="Catastrófico"),CONCATENATE("R",'Matriz final'!#REF!),"")</f>
        <v>#REF!</v>
      </c>
      <c r="AK22" s="370"/>
      <c r="AL22" s="370" t="str">
        <f ca="1">IF(AND('Matriz final'!$H$17="Media",'Matriz final'!$L$17="Catastrófico"),CONCATENATE("R",'Matriz final'!$A$17),"")</f>
        <v/>
      </c>
      <c r="AM22" s="371"/>
      <c r="AN22" s="44"/>
      <c r="AO22" s="323" t="s">
        <v>80</v>
      </c>
      <c r="AP22" s="324"/>
      <c r="AQ22" s="324"/>
      <c r="AR22" s="324"/>
      <c r="AS22" s="324"/>
      <c r="AT22" s="325"/>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row>
    <row r="23" spans="1:80" ht="15" customHeight="1" x14ac:dyDescent="0.25">
      <c r="A23" s="44"/>
      <c r="B23" s="303"/>
      <c r="C23" s="303"/>
      <c r="D23" s="304"/>
      <c r="E23" s="344"/>
      <c r="F23" s="345"/>
      <c r="G23" s="345"/>
      <c r="H23" s="345"/>
      <c r="I23" s="346"/>
      <c r="J23" s="372"/>
      <c r="K23" s="373"/>
      <c r="L23" s="373"/>
      <c r="M23" s="373"/>
      <c r="N23" s="373"/>
      <c r="O23" s="374"/>
      <c r="P23" s="372"/>
      <c r="Q23" s="373"/>
      <c r="R23" s="373"/>
      <c r="S23" s="373"/>
      <c r="T23" s="373"/>
      <c r="U23" s="374"/>
      <c r="V23" s="372"/>
      <c r="W23" s="373"/>
      <c r="X23" s="373"/>
      <c r="Y23" s="373"/>
      <c r="Z23" s="373"/>
      <c r="AA23" s="374"/>
      <c r="AB23" s="355"/>
      <c r="AC23" s="352"/>
      <c r="AD23" s="352"/>
      <c r="AE23" s="352"/>
      <c r="AF23" s="352"/>
      <c r="AG23" s="351"/>
      <c r="AH23" s="363"/>
      <c r="AI23" s="364"/>
      <c r="AJ23" s="364"/>
      <c r="AK23" s="364"/>
      <c r="AL23" s="364"/>
      <c r="AM23" s="365"/>
      <c r="AN23" s="44"/>
      <c r="AO23" s="326"/>
      <c r="AP23" s="327"/>
      <c r="AQ23" s="327"/>
      <c r="AR23" s="327"/>
      <c r="AS23" s="327"/>
      <c r="AT23" s="328"/>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row>
    <row r="24" spans="1:80" x14ac:dyDescent="0.25">
      <c r="A24" s="44"/>
      <c r="B24" s="303"/>
      <c r="C24" s="303"/>
      <c r="D24" s="304"/>
      <c r="E24" s="344"/>
      <c r="F24" s="345"/>
      <c r="G24" s="345"/>
      <c r="H24" s="345"/>
      <c r="I24" s="346"/>
      <c r="J24" s="372" t="str">
        <f ca="1">IF(AND('Matriz final'!$H$23="Media",'Matriz final'!$L$23="Leve"),CONCATENATE("R",'Matriz final'!$A$23),"")</f>
        <v/>
      </c>
      <c r="K24" s="373"/>
      <c r="L24" s="373" t="str">
        <f ca="1">IF(AND('Matriz final'!$H$29="Media",'Matriz final'!$L$29="Leve"),CONCATENATE("R",'Matriz final'!$A$29),"")</f>
        <v/>
      </c>
      <c r="M24" s="373"/>
      <c r="N24" s="373" t="str">
        <f ca="1">IF(AND('Matriz final'!$H$35="Media",'Matriz final'!$L$35="Leve"),CONCATENATE("R",'Matriz final'!$A$35),"")</f>
        <v/>
      </c>
      <c r="O24" s="374"/>
      <c r="P24" s="372" t="str">
        <f ca="1">IF(AND('Matriz final'!$H$23="Media",'Matriz final'!$L$23="Menor"),CONCATENATE("R",'Matriz final'!$A$23),"")</f>
        <v/>
      </c>
      <c r="Q24" s="373"/>
      <c r="R24" s="373" t="str">
        <f ca="1">IF(AND('Matriz final'!$H$29="Media",'Matriz final'!$L$29="Menor"),CONCATENATE("R",'Matriz final'!$A$29),"")</f>
        <v/>
      </c>
      <c r="S24" s="373"/>
      <c r="T24" s="373" t="str">
        <f ca="1">IF(AND('Matriz final'!$H$35="Media",'Matriz final'!$L$35="Menor"),CONCATENATE("R",'Matriz final'!$A$35),"")</f>
        <v/>
      </c>
      <c r="U24" s="374"/>
      <c r="V24" s="372" t="str">
        <f ca="1">IF(AND('Matriz final'!$H$23="Media",'Matriz final'!$L$23="Moderado"),CONCATENATE("R",'Matriz final'!$A$23),"")</f>
        <v/>
      </c>
      <c r="W24" s="373"/>
      <c r="X24" s="373" t="str">
        <f ca="1">IF(AND('Matriz final'!$H$29="Media",'Matriz final'!$L$29="Moderado"),CONCATENATE("R",'Matriz final'!$A$29),"")</f>
        <v/>
      </c>
      <c r="Y24" s="373"/>
      <c r="Z24" s="373" t="str">
        <f ca="1">IF(AND('Matriz final'!$H$35="Media",'Matriz final'!$L$35="Moderado"),CONCATENATE("R",'Matriz final'!$A$35),"")</f>
        <v/>
      </c>
      <c r="AA24" s="374"/>
      <c r="AB24" s="355" t="str">
        <f ca="1">IF(AND('Matriz final'!$H$23="Media",'Matriz final'!$L$23="Mayor"),CONCATENATE("R",'Matriz final'!$A$23),"")</f>
        <v>R11</v>
      </c>
      <c r="AC24" s="352"/>
      <c r="AD24" s="350" t="str">
        <f ca="1">IF(AND('Matriz final'!$H$29="Media",'Matriz final'!$L$29="Mayor"),CONCATENATE("R",'Matriz final'!$A$29),"")</f>
        <v/>
      </c>
      <c r="AE24" s="350"/>
      <c r="AF24" s="350" t="str">
        <f ca="1">IF(AND('Matriz final'!$H$35="Media",'Matriz final'!$L$35="Mayor"),CONCATENATE("R",'Matriz final'!$A$35),"")</f>
        <v/>
      </c>
      <c r="AG24" s="351"/>
      <c r="AH24" s="363" t="str">
        <f ca="1">IF(AND('Matriz final'!$H$23="Media",'Matriz final'!$L$23="Catastrófico"),CONCATENATE("R",'Matriz final'!$A$23),"")</f>
        <v/>
      </c>
      <c r="AI24" s="364"/>
      <c r="AJ24" s="364" t="str">
        <f ca="1">IF(AND('Matriz final'!$H$29="Media",'Matriz final'!$L$29="Catastrófico"),CONCATENATE("R",'Matriz final'!$A$29),"")</f>
        <v/>
      </c>
      <c r="AK24" s="364"/>
      <c r="AL24" s="364" t="str">
        <f ca="1">IF(AND('Matriz final'!$H$35="Media",'Matriz final'!$L$35="Catastrófico"),CONCATENATE("R",'Matriz final'!$A$35),"")</f>
        <v/>
      </c>
      <c r="AM24" s="365"/>
      <c r="AN24" s="44"/>
      <c r="AO24" s="326"/>
      <c r="AP24" s="327"/>
      <c r="AQ24" s="327"/>
      <c r="AR24" s="327"/>
      <c r="AS24" s="327"/>
      <c r="AT24" s="328"/>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row>
    <row r="25" spans="1:80" x14ac:dyDescent="0.25">
      <c r="A25" s="44"/>
      <c r="B25" s="303"/>
      <c r="C25" s="303"/>
      <c r="D25" s="304"/>
      <c r="E25" s="344"/>
      <c r="F25" s="345"/>
      <c r="G25" s="345"/>
      <c r="H25" s="345"/>
      <c r="I25" s="346"/>
      <c r="J25" s="372"/>
      <c r="K25" s="373"/>
      <c r="L25" s="373"/>
      <c r="M25" s="373"/>
      <c r="N25" s="373"/>
      <c r="O25" s="374"/>
      <c r="P25" s="372"/>
      <c r="Q25" s="373"/>
      <c r="R25" s="373"/>
      <c r="S25" s="373"/>
      <c r="T25" s="373"/>
      <c r="U25" s="374"/>
      <c r="V25" s="372"/>
      <c r="W25" s="373"/>
      <c r="X25" s="373"/>
      <c r="Y25" s="373"/>
      <c r="Z25" s="373"/>
      <c r="AA25" s="374"/>
      <c r="AB25" s="355"/>
      <c r="AC25" s="352"/>
      <c r="AD25" s="350"/>
      <c r="AE25" s="350"/>
      <c r="AF25" s="350"/>
      <c r="AG25" s="351"/>
      <c r="AH25" s="363"/>
      <c r="AI25" s="364"/>
      <c r="AJ25" s="364"/>
      <c r="AK25" s="364"/>
      <c r="AL25" s="364"/>
      <c r="AM25" s="365"/>
      <c r="AN25" s="44"/>
      <c r="AO25" s="326"/>
      <c r="AP25" s="327"/>
      <c r="AQ25" s="327"/>
      <c r="AR25" s="327"/>
      <c r="AS25" s="327"/>
      <c r="AT25" s="328"/>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row>
    <row r="26" spans="1:80" x14ac:dyDescent="0.25">
      <c r="A26" s="44"/>
      <c r="B26" s="303"/>
      <c r="C26" s="303"/>
      <c r="D26" s="304"/>
      <c r="E26" s="344"/>
      <c r="F26" s="345"/>
      <c r="G26" s="345"/>
      <c r="H26" s="345"/>
      <c r="I26" s="346"/>
      <c r="J26" s="372" t="str">
        <f ca="1">IF(AND('Matriz final'!$H$41="Media",'Matriz final'!$L$41="Leve"),CONCATENATE("R",'Matriz final'!$A$41),"")</f>
        <v/>
      </c>
      <c r="K26" s="373"/>
      <c r="L26" s="373" t="str">
        <f ca="1">IF(AND('Matriz final'!$H$47="Media",'Matriz final'!$L$47="Leve"),CONCATENATE("R",'Matriz final'!$A$47),"")</f>
        <v/>
      </c>
      <c r="M26" s="373"/>
      <c r="N26" s="373" t="str">
        <f ca="1">IF(AND('Matriz final'!$H$53="Media",'Matriz final'!$L$53="Leve"),CONCATENATE("R",'Matriz final'!$A$53),"")</f>
        <v/>
      </c>
      <c r="O26" s="374"/>
      <c r="P26" s="372" t="str">
        <f ca="1">IF(AND('Matriz final'!$H$41="Media",'Matriz final'!$L$41="Menor"),CONCATENATE("R",'Matriz final'!$A$41),"")</f>
        <v/>
      </c>
      <c r="Q26" s="373"/>
      <c r="R26" s="373" t="str">
        <f ca="1">IF(AND('Matriz final'!$H$47="Media",'Matriz final'!$L$47="Menor"),CONCATENATE("R",'Matriz final'!$A$47),"")</f>
        <v/>
      </c>
      <c r="S26" s="373"/>
      <c r="T26" s="373" t="str">
        <f ca="1">IF(AND('Matriz final'!$H$53="Media",'Matriz final'!$L$53="Menor"),CONCATENATE("R",'Matriz final'!$A$53),"")</f>
        <v/>
      </c>
      <c r="U26" s="374"/>
      <c r="V26" s="372" t="str">
        <f ca="1">IF(AND('Matriz final'!$H$41="Media",'Matriz final'!$L$41="Moderado"),CONCATENATE("R",'Matriz final'!$A$41),"")</f>
        <v/>
      </c>
      <c r="W26" s="373"/>
      <c r="X26" s="373" t="str">
        <f ca="1">IF(AND('Matriz final'!$H$47="Media",'Matriz final'!$L$47="Moderado"),CONCATENATE("R",'Matriz final'!$A$47),"")</f>
        <v/>
      </c>
      <c r="Y26" s="373"/>
      <c r="Z26" s="373" t="str">
        <f ca="1">IF(AND('Matriz final'!$H$53="Media",'Matriz final'!$L$53="Moderado"),CONCATENATE("R",'Matriz final'!$A$53),"")</f>
        <v/>
      </c>
      <c r="AA26" s="374"/>
      <c r="AB26" s="355" t="str">
        <f ca="1">IF(AND('Matriz final'!$H$41="Media",'Matriz final'!$L$41="Mayor"),CONCATENATE("R",'Matriz final'!$A$41),"")</f>
        <v/>
      </c>
      <c r="AC26" s="352"/>
      <c r="AD26" s="350" t="str">
        <f ca="1">IF(AND('Matriz final'!$H$47="Media",'Matriz final'!$L$47="Mayor"),CONCATENATE("R",'Matriz final'!$A$47),"")</f>
        <v/>
      </c>
      <c r="AE26" s="350"/>
      <c r="AF26" s="350" t="str">
        <f ca="1">IF(AND('Matriz final'!$H$53="Media",'Matriz final'!$L$53="Mayor"),CONCATENATE("R",'Matriz final'!$A$53),"")</f>
        <v/>
      </c>
      <c r="AG26" s="351"/>
      <c r="AH26" s="363" t="str">
        <f ca="1">IF(AND('Matriz final'!$H$41="Media",'Matriz final'!$L$41="Catastrófico"),CONCATENATE("R",'Matriz final'!$A$41),"")</f>
        <v/>
      </c>
      <c r="AI26" s="364"/>
      <c r="AJ26" s="364" t="str">
        <f ca="1">IF(AND('Matriz final'!$H$47="Media",'Matriz final'!$L$47="Catastrófico"),CONCATENATE("R",'Matriz final'!$A$47),"")</f>
        <v/>
      </c>
      <c r="AK26" s="364"/>
      <c r="AL26" s="364" t="str">
        <f ca="1">IF(AND('Matriz final'!$H$53="Media",'Matriz final'!$L$53="Catastrófico"),CONCATENATE("R",'Matriz final'!$A$53),"")</f>
        <v>R8</v>
      </c>
      <c r="AM26" s="365"/>
      <c r="AN26" s="44"/>
      <c r="AO26" s="326"/>
      <c r="AP26" s="327"/>
      <c r="AQ26" s="327"/>
      <c r="AR26" s="327"/>
      <c r="AS26" s="327"/>
      <c r="AT26" s="328"/>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row>
    <row r="27" spans="1:80" x14ac:dyDescent="0.25">
      <c r="A27" s="44"/>
      <c r="B27" s="303"/>
      <c r="C27" s="303"/>
      <c r="D27" s="304"/>
      <c r="E27" s="344"/>
      <c r="F27" s="345"/>
      <c r="G27" s="345"/>
      <c r="H27" s="345"/>
      <c r="I27" s="346"/>
      <c r="J27" s="372"/>
      <c r="K27" s="373"/>
      <c r="L27" s="373"/>
      <c r="M27" s="373"/>
      <c r="N27" s="373"/>
      <c r="O27" s="374"/>
      <c r="P27" s="372"/>
      <c r="Q27" s="373"/>
      <c r="R27" s="373"/>
      <c r="S27" s="373"/>
      <c r="T27" s="373"/>
      <c r="U27" s="374"/>
      <c r="V27" s="372"/>
      <c r="W27" s="373"/>
      <c r="X27" s="373"/>
      <c r="Y27" s="373"/>
      <c r="Z27" s="373"/>
      <c r="AA27" s="374"/>
      <c r="AB27" s="355"/>
      <c r="AC27" s="352"/>
      <c r="AD27" s="350"/>
      <c r="AE27" s="350"/>
      <c r="AF27" s="350"/>
      <c r="AG27" s="351"/>
      <c r="AH27" s="363"/>
      <c r="AI27" s="364"/>
      <c r="AJ27" s="364"/>
      <c r="AK27" s="364"/>
      <c r="AL27" s="364"/>
      <c r="AM27" s="365"/>
      <c r="AN27" s="44"/>
      <c r="AO27" s="326"/>
      <c r="AP27" s="327"/>
      <c r="AQ27" s="327"/>
      <c r="AR27" s="327"/>
      <c r="AS27" s="327"/>
      <c r="AT27" s="328"/>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row>
    <row r="28" spans="1:80" x14ac:dyDescent="0.25">
      <c r="A28" s="44"/>
      <c r="B28" s="303"/>
      <c r="C28" s="303"/>
      <c r="D28" s="304"/>
      <c r="E28" s="344"/>
      <c r="F28" s="345"/>
      <c r="G28" s="345"/>
      <c r="H28" s="345"/>
      <c r="I28" s="346"/>
      <c r="J28" s="372" t="str">
        <f ca="1">IF(AND('Matriz final'!$H$59="Media",'Matriz final'!$L$59="Leve"),CONCATENATE("R",'Matriz final'!$A$59),"")</f>
        <v/>
      </c>
      <c r="K28" s="373"/>
      <c r="L28" s="373" t="str">
        <f>IF(AND('Matriz final'!$H$65="Media",'Matriz final'!$L$65="Leve"),CONCATENATE("R",'Matriz final'!$A$65),"")</f>
        <v/>
      </c>
      <c r="M28" s="373"/>
      <c r="N28" s="373" t="str">
        <f>IF(AND('Matriz final'!$H$71="Media",'Matriz final'!$L$71="Leve"),CONCATENATE("R",'Matriz final'!$A$71),"")</f>
        <v/>
      </c>
      <c r="O28" s="374"/>
      <c r="P28" s="372" t="str">
        <f ca="1">IF(AND('Matriz final'!$H$59="Media",'Matriz final'!$L$59="Menor"),CONCATENATE("R",'Matriz final'!$A$59),"")</f>
        <v/>
      </c>
      <c r="Q28" s="373"/>
      <c r="R28" s="373" t="str">
        <f>IF(AND('Matriz final'!$H$65="Media",'Matriz final'!$L$65="Menor"),CONCATENATE("R",'Matriz final'!$A$65),"")</f>
        <v/>
      </c>
      <c r="S28" s="373"/>
      <c r="T28" s="373" t="str">
        <f>IF(AND('Matriz final'!$H$71="Media",'Matriz final'!$L$71="Menor"),CONCATENATE("R",'Matriz final'!$A$71),"")</f>
        <v/>
      </c>
      <c r="U28" s="374"/>
      <c r="V28" s="372" t="str">
        <f ca="1">IF(AND('Matriz final'!$H$59="Media",'Matriz final'!$L$59="Moderado"),CONCATENATE("R",'Matriz final'!$A$59),"")</f>
        <v/>
      </c>
      <c r="W28" s="373"/>
      <c r="X28" s="373" t="str">
        <f>IF(AND('Matriz final'!$H$65="Media",'Matriz final'!$L$65="Moderado"),CONCATENATE("R",'Matriz final'!$A$65),"")</f>
        <v/>
      </c>
      <c r="Y28" s="373"/>
      <c r="Z28" s="373" t="str">
        <f>IF(AND('Matriz final'!$H$71="Media",'Matriz final'!$L$71="Moderado"),CONCATENATE("R",'Matriz final'!$A$71),"")</f>
        <v/>
      </c>
      <c r="AA28" s="374"/>
      <c r="AB28" s="355" t="str">
        <f ca="1">IF(AND('Matriz final'!$H$59="Media",'Matriz final'!$L$59="Mayor"),CONCATENATE("R",'Matriz final'!$A$59),"")</f>
        <v/>
      </c>
      <c r="AC28" s="352"/>
      <c r="AD28" s="350" t="str">
        <f>IF(AND('Matriz final'!$H$65="Media",'Matriz final'!$L$65="Mayor"),CONCATENATE("R",'Matriz final'!$A$65),"")</f>
        <v/>
      </c>
      <c r="AE28" s="350"/>
      <c r="AF28" s="350" t="str">
        <f>IF(AND('Matriz final'!$H$71="Media",'Matriz final'!$L$71="Mayor"),CONCATENATE("R",'Matriz final'!$A$71),"")</f>
        <v/>
      </c>
      <c r="AG28" s="351"/>
      <c r="AH28" s="363" t="str">
        <f ca="1">IF(AND('Matriz final'!$H$59="Media",'Matriz final'!$L$59="Catastrófico"),CONCATENATE("R",'Matriz final'!$A$59),"")</f>
        <v>R9</v>
      </c>
      <c r="AI28" s="364"/>
      <c r="AJ28" s="364" t="str">
        <f>IF(AND('Matriz final'!$H$65="Media",'Matriz final'!$L$65="Catastrófico"),CONCATENATE("R",'Matriz final'!$A$65),"")</f>
        <v/>
      </c>
      <c r="AK28" s="364"/>
      <c r="AL28" s="364" t="str">
        <f>IF(AND('Matriz final'!$H$71="Media",'Matriz final'!$L$71="Catastrófico"),CONCATENATE("R",'Matriz final'!$A$71),"")</f>
        <v/>
      </c>
      <c r="AM28" s="365"/>
      <c r="AN28" s="44"/>
      <c r="AO28" s="326"/>
      <c r="AP28" s="327"/>
      <c r="AQ28" s="327"/>
      <c r="AR28" s="327"/>
      <c r="AS28" s="327"/>
      <c r="AT28" s="328"/>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row>
    <row r="29" spans="1:80" ht="15.75" thickBot="1" x14ac:dyDescent="0.3">
      <c r="A29" s="44"/>
      <c r="B29" s="303"/>
      <c r="C29" s="303"/>
      <c r="D29" s="304"/>
      <c r="E29" s="347"/>
      <c r="F29" s="348"/>
      <c r="G29" s="348"/>
      <c r="H29" s="348"/>
      <c r="I29" s="349"/>
      <c r="J29" s="372"/>
      <c r="K29" s="373"/>
      <c r="L29" s="373"/>
      <c r="M29" s="373"/>
      <c r="N29" s="373"/>
      <c r="O29" s="374"/>
      <c r="P29" s="375"/>
      <c r="Q29" s="376"/>
      <c r="R29" s="376"/>
      <c r="S29" s="376"/>
      <c r="T29" s="376"/>
      <c r="U29" s="377"/>
      <c r="V29" s="375"/>
      <c r="W29" s="376"/>
      <c r="X29" s="376"/>
      <c r="Y29" s="376"/>
      <c r="Z29" s="376"/>
      <c r="AA29" s="377"/>
      <c r="AB29" s="360"/>
      <c r="AC29" s="361"/>
      <c r="AD29" s="361"/>
      <c r="AE29" s="361"/>
      <c r="AF29" s="361"/>
      <c r="AG29" s="362"/>
      <c r="AH29" s="366"/>
      <c r="AI29" s="367"/>
      <c r="AJ29" s="367"/>
      <c r="AK29" s="367"/>
      <c r="AL29" s="367"/>
      <c r="AM29" s="368"/>
      <c r="AN29" s="44"/>
      <c r="AO29" s="329"/>
      <c r="AP29" s="330"/>
      <c r="AQ29" s="330"/>
      <c r="AR29" s="330"/>
      <c r="AS29" s="330"/>
      <c r="AT29" s="331"/>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row>
    <row r="30" spans="1:80" x14ac:dyDescent="0.25">
      <c r="A30" s="44"/>
      <c r="B30" s="303"/>
      <c r="C30" s="303"/>
      <c r="D30" s="304"/>
      <c r="E30" s="341" t="s">
        <v>113</v>
      </c>
      <c r="F30" s="342"/>
      <c r="G30" s="342"/>
      <c r="H30" s="342"/>
      <c r="I30" s="342"/>
      <c r="J30" s="387" t="str">
        <f ca="1">IF(AND('Matriz final'!$H$12="Baja",'Matriz final'!$L$12="Leve"),CONCATENATE("R",'Matriz final'!$A$12),"")</f>
        <v/>
      </c>
      <c r="K30" s="388"/>
      <c r="L30" s="388" t="e">
        <f>IF(AND('Matriz final'!#REF!="Baja",'Matriz final'!#REF!="Leve"),CONCATENATE("R",'Matriz final'!#REF!),"")</f>
        <v>#REF!</v>
      </c>
      <c r="M30" s="388"/>
      <c r="N30" s="388" t="str">
        <f ca="1">IF(AND('Matriz final'!$H$17="Baja",'Matriz final'!$L$17="Leve"),CONCATENATE("R",'Matriz final'!$A$17),"")</f>
        <v/>
      </c>
      <c r="O30" s="389"/>
      <c r="P30" s="379" t="str">
        <f ca="1">IF(AND('Matriz final'!$H$12="Baja",'Matriz final'!$L$12="Menor"),CONCATENATE("R",'Matriz final'!$A$12),"")</f>
        <v/>
      </c>
      <c r="Q30" s="379"/>
      <c r="R30" s="379" t="e">
        <f>IF(AND('Matriz final'!#REF!="Baja",'Matriz final'!#REF!="Menor"),CONCATENATE("R",'Matriz final'!#REF!),"")</f>
        <v>#REF!</v>
      </c>
      <c r="S30" s="379"/>
      <c r="T30" s="379" t="str">
        <f ca="1">IF(AND('Matriz final'!$H$17="Baja",'Matriz final'!$L$17="Menor"),CONCATENATE("R",'Matriz final'!$A$17),"")</f>
        <v/>
      </c>
      <c r="U30" s="380"/>
      <c r="V30" s="378" t="str">
        <f ca="1">IF(AND('Matriz final'!$H$12="Baja",'Matriz final'!$L$12="Moderado"),CONCATENATE("R",'Matriz final'!$A$12),"")</f>
        <v/>
      </c>
      <c r="W30" s="379"/>
      <c r="X30" s="379" t="e">
        <f>IF(AND('Matriz final'!#REF!="Baja",'Matriz final'!#REF!="Moderado"),CONCATENATE("R",'Matriz final'!#REF!),"")</f>
        <v>#REF!</v>
      </c>
      <c r="Y30" s="379"/>
      <c r="Z30" s="379" t="str">
        <f ca="1">IF(AND('Matriz final'!$H$17="Baja",'Matriz final'!$L$17="Moderado"),CONCATENATE("R",'Matriz final'!$A$17),"")</f>
        <v/>
      </c>
      <c r="AA30" s="380"/>
      <c r="AB30" s="353" t="str">
        <f ca="1">IF(AND('Matriz final'!$H$12="Baja",'Matriz final'!$L$12="Mayor"),CONCATENATE("R",'Matriz final'!$A$12),"")</f>
        <v>R</v>
      </c>
      <c r="AC30" s="354"/>
      <c r="AD30" s="354" t="e">
        <f>IF(AND('Matriz final'!#REF!="Baja",'Matriz final'!#REF!="Mayor"),CONCATENATE("R",'Matriz final'!#REF!),"")</f>
        <v>#REF!</v>
      </c>
      <c r="AE30" s="354"/>
      <c r="AF30" s="354" t="str">
        <f ca="1">IF(AND('Matriz final'!$H$17="Baja",'Matriz final'!$L$17="Mayor"),CONCATENATE("R",'Matriz final'!$A$17),"")</f>
        <v/>
      </c>
      <c r="AG30" s="356"/>
      <c r="AH30" s="369" t="str">
        <f ca="1">IF(AND('Matriz final'!$H$12="Baja",'Matriz final'!$L$12="Catastrófico"),CONCATENATE("R",'Matriz final'!$A$12),"")</f>
        <v/>
      </c>
      <c r="AI30" s="370"/>
      <c r="AJ30" s="370" t="e">
        <f>IF(AND('Matriz final'!#REF!="Baja",'Matriz final'!#REF!="Catastrófico"),CONCATENATE("R",'Matriz final'!#REF!),"")</f>
        <v>#REF!</v>
      </c>
      <c r="AK30" s="370"/>
      <c r="AL30" s="370" t="str">
        <f ca="1">IF(AND('Matriz final'!$H$17="Baja",'Matriz final'!$L$17="Catastrófico"),CONCATENATE("R",'Matriz final'!$A$17),"")</f>
        <v/>
      </c>
      <c r="AM30" s="371"/>
      <c r="AN30" s="44"/>
      <c r="AO30" s="332" t="s">
        <v>81</v>
      </c>
      <c r="AP30" s="333"/>
      <c r="AQ30" s="333"/>
      <c r="AR30" s="333"/>
      <c r="AS30" s="333"/>
      <c r="AT30" s="33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row>
    <row r="31" spans="1:80" x14ac:dyDescent="0.25">
      <c r="A31" s="44"/>
      <c r="B31" s="303"/>
      <c r="C31" s="303"/>
      <c r="D31" s="304"/>
      <c r="E31" s="344"/>
      <c r="F31" s="345"/>
      <c r="G31" s="345"/>
      <c r="H31" s="345"/>
      <c r="I31" s="358"/>
      <c r="J31" s="383"/>
      <c r="K31" s="381"/>
      <c r="L31" s="381"/>
      <c r="M31" s="381"/>
      <c r="N31" s="381"/>
      <c r="O31" s="382"/>
      <c r="P31" s="373"/>
      <c r="Q31" s="373"/>
      <c r="R31" s="373"/>
      <c r="S31" s="373"/>
      <c r="T31" s="373"/>
      <c r="U31" s="374"/>
      <c r="V31" s="372"/>
      <c r="W31" s="373"/>
      <c r="X31" s="373"/>
      <c r="Y31" s="373"/>
      <c r="Z31" s="373"/>
      <c r="AA31" s="374"/>
      <c r="AB31" s="355"/>
      <c r="AC31" s="352"/>
      <c r="AD31" s="352"/>
      <c r="AE31" s="352"/>
      <c r="AF31" s="352"/>
      <c r="AG31" s="351"/>
      <c r="AH31" s="363"/>
      <c r="AI31" s="364"/>
      <c r="AJ31" s="364"/>
      <c r="AK31" s="364"/>
      <c r="AL31" s="364"/>
      <c r="AM31" s="365"/>
      <c r="AN31" s="44"/>
      <c r="AO31" s="335"/>
      <c r="AP31" s="336"/>
      <c r="AQ31" s="336"/>
      <c r="AR31" s="336"/>
      <c r="AS31" s="336"/>
      <c r="AT31" s="337"/>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row>
    <row r="32" spans="1:80" x14ac:dyDescent="0.25">
      <c r="A32" s="44"/>
      <c r="B32" s="303"/>
      <c r="C32" s="303"/>
      <c r="D32" s="304"/>
      <c r="E32" s="344"/>
      <c r="F32" s="345"/>
      <c r="G32" s="345"/>
      <c r="H32" s="345"/>
      <c r="I32" s="358"/>
      <c r="J32" s="383" t="str">
        <f ca="1">IF(AND('Matriz final'!$H$23="Baja",'Matriz final'!$L$23="Leve"),CONCATENATE("R",'Matriz final'!$A$23),"")</f>
        <v/>
      </c>
      <c r="K32" s="381"/>
      <c r="L32" s="381" t="str">
        <f ca="1">IF(AND('Matriz final'!$H$29="Baja",'Matriz final'!$L$29="Leve"),CONCATENATE("R",'Matriz final'!$A$29),"")</f>
        <v/>
      </c>
      <c r="M32" s="381"/>
      <c r="N32" s="381" t="str">
        <f ca="1">IF(AND('Matriz final'!$H$35="Baja",'Matriz final'!$L$35="Leve"),CONCATENATE("R",'Matriz final'!$A$35),"")</f>
        <v/>
      </c>
      <c r="O32" s="382"/>
      <c r="P32" s="373" t="str">
        <f ca="1">IF(AND('Matriz final'!$H$23="Baja",'Matriz final'!$L$23="Menor"),CONCATENATE("R",'Matriz final'!$A$23),"")</f>
        <v/>
      </c>
      <c r="Q32" s="373"/>
      <c r="R32" s="373" t="str">
        <f ca="1">IF(AND('Matriz final'!$H$29="Baja",'Matriz final'!$L$29="Menor"),CONCATENATE("R",'Matriz final'!$A$29),"")</f>
        <v/>
      </c>
      <c r="S32" s="373"/>
      <c r="T32" s="373" t="str">
        <f ca="1">IF(AND('Matriz final'!$H$35="Baja",'Matriz final'!$L$35="Menor"),CONCATENATE("R",'Matriz final'!$A$35),"")</f>
        <v/>
      </c>
      <c r="U32" s="374"/>
      <c r="V32" s="372" t="str">
        <f ca="1">IF(AND('Matriz final'!$H$23="Baja",'Matriz final'!$L$23="Moderado"),CONCATENATE("R",'Matriz final'!$A$23),"")</f>
        <v/>
      </c>
      <c r="W32" s="373"/>
      <c r="X32" s="373" t="str">
        <f ca="1">IF(AND('Matriz final'!$H$29="Baja",'Matriz final'!$L$29="Moderado"),CONCATENATE("R",'Matriz final'!$A$29),"")</f>
        <v/>
      </c>
      <c r="Y32" s="373"/>
      <c r="Z32" s="373" t="str">
        <f ca="1">IF(AND('Matriz final'!$H$35="Baja",'Matriz final'!$L$35="Moderado"),CONCATENATE("R",'Matriz final'!$A$35),"")</f>
        <v/>
      </c>
      <c r="AA32" s="374"/>
      <c r="AB32" s="355" t="str">
        <f ca="1">IF(AND('Matriz final'!$H$23="Baja",'Matriz final'!$L$23="Mayor"),CONCATENATE("R",'Matriz final'!$A$23),"")</f>
        <v/>
      </c>
      <c r="AC32" s="352"/>
      <c r="AD32" s="350" t="str">
        <f ca="1">IF(AND('Matriz final'!$H$29="Baja",'Matriz final'!$L$29="Mayor"),CONCATENATE("R",'Matriz final'!$A$29),"")</f>
        <v/>
      </c>
      <c r="AE32" s="350"/>
      <c r="AF32" s="350" t="str">
        <f ca="1">IF(AND('Matriz final'!$H$35="Baja",'Matriz final'!$L$35="Mayor"),CONCATENATE("R",'Matriz final'!$A$35),"")</f>
        <v/>
      </c>
      <c r="AG32" s="351"/>
      <c r="AH32" s="363" t="str">
        <f ca="1">IF(AND('Matriz final'!$H$23="Baja",'Matriz final'!$L$23="Catastrófico"),CONCATENATE("R",'Matriz final'!$A$23),"")</f>
        <v/>
      </c>
      <c r="AI32" s="364"/>
      <c r="AJ32" s="364" t="str">
        <f ca="1">IF(AND('Matriz final'!$H$29="Baja",'Matriz final'!$L$29="Catastrófico"),CONCATENATE("R",'Matriz final'!$A$29),"")</f>
        <v/>
      </c>
      <c r="AK32" s="364"/>
      <c r="AL32" s="364" t="str">
        <f ca="1">IF(AND('Matriz final'!$H$35="Baja",'Matriz final'!$L$35="Catastrófico"),CONCATENATE("R",'Matriz final'!$A$35),"")</f>
        <v/>
      </c>
      <c r="AM32" s="365"/>
      <c r="AN32" s="44"/>
      <c r="AO32" s="335"/>
      <c r="AP32" s="336"/>
      <c r="AQ32" s="336"/>
      <c r="AR32" s="336"/>
      <c r="AS32" s="336"/>
      <c r="AT32" s="337"/>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row>
    <row r="33" spans="1:80" x14ac:dyDescent="0.25">
      <c r="A33" s="44"/>
      <c r="B33" s="303"/>
      <c r="C33" s="303"/>
      <c r="D33" s="304"/>
      <c r="E33" s="344"/>
      <c r="F33" s="345"/>
      <c r="G33" s="345"/>
      <c r="H33" s="345"/>
      <c r="I33" s="358"/>
      <c r="J33" s="383"/>
      <c r="K33" s="381"/>
      <c r="L33" s="381"/>
      <c r="M33" s="381"/>
      <c r="N33" s="381"/>
      <c r="O33" s="382"/>
      <c r="P33" s="373"/>
      <c r="Q33" s="373"/>
      <c r="R33" s="373"/>
      <c r="S33" s="373"/>
      <c r="T33" s="373"/>
      <c r="U33" s="374"/>
      <c r="V33" s="372"/>
      <c r="W33" s="373"/>
      <c r="X33" s="373"/>
      <c r="Y33" s="373"/>
      <c r="Z33" s="373"/>
      <c r="AA33" s="374"/>
      <c r="AB33" s="355"/>
      <c r="AC33" s="352"/>
      <c r="AD33" s="350"/>
      <c r="AE33" s="350"/>
      <c r="AF33" s="350"/>
      <c r="AG33" s="351"/>
      <c r="AH33" s="363"/>
      <c r="AI33" s="364"/>
      <c r="AJ33" s="364"/>
      <c r="AK33" s="364"/>
      <c r="AL33" s="364"/>
      <c r="AM33" s="365"/>
      <c r="AN33" s="44"/>
      <c r="AO33" s="335"/>
      <c r="AP33" s="336"/>
      <c r="AQ33" s="336"/>
      <c r="AR33" s="336"/>
      <c r="AS33" s="336"/>
      <c r="AT33" s="337"/>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row>
    <row r="34" spans="1:80" x14ac:dyDescent="0.25">
      <c r="A34" s="44"/>
      <c r="B34" s="303"/>
      <c r="C34" s="303"/>
      <c r="D34" s="304"/>
      <c r="E34" s="344"/>
      <c r="F34" s="345"/>
      <c r="G34" s="345"/>
      <c r="H34" s="345"/>
      <c r="I34" s="358"/>
      <c r="J34" s="383" t="str">
        <f ca="1">IF(AND('Matriz final'!$H$41="Baja",'Matriz final'!$L$41="Leve"),CONCATENATE("R",'Matriz final'!$A$41),"")</f>
        <v/>
      </c>
      <c r="K34" s="381"/>
      <c r="L34" s="381" t="str">
        <f ca="1">IF(AND('Matriz final'!$H$47="Baja",'Matriz final'!$L$47="Leve"),CONCATENATE("R",'Matriz final'!$A$47),"")</f>
        <v/>
      </c>
      <c r="M34" s="381"/>
      <c r="N34" s="381" t="str">
        <f ca="1">IF(AND('Matriz final'!$H$53="Baja",'Matriz final'!$L$53="Leve"),CONCATENATE("R",'Matriz final'!$A$53),"")</f>
        <v/>
      </c>
      <c r="O34" s="382"/>
      <c r="P34" s="373" t="str">
        <f ca="1">IF(AND('Matriz final'!$H$41="Baja",'Matriz final'!$L$41="Menor"),CONCATENATE("R",'Matriz final'!$A$41),"")</f>
        <v/>
      </c>
      <c r="Q34" s="373"/>
      <c r="R34" s="373" t="str">
        <f ca="1">IF(AND('Matriz final'!$H$47="Baja",'Matriz final'!$L$47="Menor"),CONCATENATE("R",'Matriz final'!$A$47),"")</f>
        <v/>
      </c>
      <c r="S34" s="373"/>
      <c r="T34" s="373" t="str">
        <f ca="1">IF(AND('Matriz final'!$H$53="Baja",'Matriz final'!$L$53="Menor"),CONCATENATE("R",'Matriz final'!$A$53),"")</f>
        <v/>
      </c>
      <c r="U34" s="374"/>
      <c r="V34" s="372" t="str">
        <f ca="1">IF(AND('Matriz final'!$H$41="Baja",'Matriz final'!$L$41="Moderado"),CONCATENATE("R",'Matriz final'!$A$41),"")</f>
        <v/>
      </c>
      <c r="W34" s="373"/>
      <c r="X34" s="373" t="str">
        <f ca="1">IF(AND('Matriz final'!$H$47="Baja",'Matriz final'!$L$47="Moderado"),CONCATENATE("R",'Matriz final'!$A$47),"")</f>
        <v/>
      </c>
      <c r="Y34" s="373"/>
      <c r="Z34" s="373" t="str">
        <f ca="1">IF(AND('Matriz final'!$H$53="Baja",'Matriz final'!$L$53="Moderado"),CONCATENATE("R",'Matriz final'!$A$53),"")</f>
        <v/>
      </c>
      <c r="AA34" s="374"/>
      <c r="AB34" s="355" t="str">
        <f ca="1">IF(AND('Matriz final'!$H$41="Baja",'Matriz final'!$L$41="Mayor"),CONCATENATE("R",'Matriz final'!$A$41),"")</f>
        <v/>
      </c>
      <c r="AC34" s="352"/>
      <c r="AD34" s="350" t="str">
        <f ca="1">IF(AND('Matriz final'!$H$47="Baja",'Matriz final'!$L$47="Mayor"),CONCATENATE("R",'Matriz final'!$A$47),"")</f>
        <v/>
      </c>
      <c r="AE34" s="350"/>
      <c r="AF34" s="350" t="str">
        <f ca="1">IF(AND('Matriz final'!$H$53="Baja",'Matriz final'!$L$53="Mayor"),CONCATENATE("R",'Matriz final'!$A$53),"")</f>
        <v/>
      </c>
      <c r="AG34" s="351"/>
      <c r="AH34" s="363" t="str">
        <f ca="1">IF(AND('Matriz final'!$H$41="Baja",'Matriz final'!$L$41="Catastrófico"),CONCATENATE("R",'Matriz final'!$A$41),"")</f>
        <v/>
      </c>
      <c r="AI34" s="364"/>
      <c r="AJ34" s="364" t="str">
        <f ca="1">IF(AND('Matriz final'!$H$47="Baja",'Matriz final'!$L$47="Catastrófico"),CONCATENATE("R",'Matriz final'!$A$47),"")</f>
        <v/>
      </c>
      <c r="AK34" s="364"/>
      <c r="AL34" s="364" t="str">
        <f ca="1">IF(AND('Matriz final'!$H$53="Baja",'Matriz final'!$L$53="Catastrófico"),CONCATENATE("R",'Matriz final'!$A$53),"")</f>
        <v/>
      </c>
      <c r="AM34" s="365"/>
      <c r="AN34" s="44"/>
      <c r="AO34" s="335"/>
      <c r="AP34" s="336"/>
      <c r="AQ34" s="336"/>
      <c r="AR34" s="336"/>
      <c r="AS34" s="336"/>
      <c r="AT34" s="337"/>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row>
    <row r="35" spans="1:80" x14ac:dyDescent="0.25">
      <c r="A35" s="44"/>
      <c r="B35" s="303"/>
      <c r="C35" s="303"/>
      <c r="D35" s="304"/>
      <c r="E35" s="344"/>
      <c r="F35" s="345"/>
      <c r="G35" s="345"/>
      <c r="H35" s="345"/>
      <c r="I35" s="358"/>
      <c r="J35" s="383"/>
      <c r="K35" s="381"/>
      <c r="L35" s="381"/>
      <c r="M35" s="381"/>
      <c r="N35" s="381"/>
      <c r="O35" s="382"/>
      <c r="P35" s="373"/>
      <c r="Q35" s="373"/>
      <c r="R35" s="373"/>
      <c r="S35" s="373"/>
      <c r="T35" s="373"/>
      <c r="U35" s="374"/>
      <c r="V35" s="372"/>
      <c r="W35" s="373"/>
      <c r="X35" s="373"/>
      <c r="Y35" s="373"/>
      <c r="Z35" s="373"/>
      <c r="AA35" s="374"/>
      <c r="AB35" s="355"/>
      <c r="AC35" s="352"/>
      <c r="AD35" s="350"/>
      <c r="AE35" s="350"/>
      <c r="AF35" s="350"/>
      <c r="AG35" s="351"/>
      <c r="AH35" s="363"/>
      <c r="AI35" s="364"/>
      <c r="AJ35" s="364"/>
      <c r="AK35" s="364"/>
      <c r="AL35" s="364"/>
      <c r="AM35" s="365"/>
      <c r="AN35" s="44"/>
      <c r="AO35" s="335"/>
      <c r="AP35" s="336"/>
      <c r="AQ35" s="336"/>
      <c r="AR35" s="336"/>
      <c r="AS35" s="336"/>
      <c r="AT35" s="337"/>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row>
    <row r="36" spans="1:80" x14ac:dyDescent="0.25">
      <c r="A36" s="44"/>
      <c r="B36" s="303"/>
      <c r="C36" s="303"/>
      <c r="D36" s="304"/>
      <c r="E36" s="344"/>
      <c r="F36" s="345"/>
      <c r="G36" s="345"/>
      <c r="H36" s="345"/>
      <c r="I36" s="358"/>
      <c r="J36" s="383" t="str">
        <f ca="1">IF(AND('Matriz final'!$H$59="Baja",'Matriz final'!$L$59="Leve"),CONCATENATE("R",'Matriz final'!$A$59),"")</f>
        <v/>
      </c>
      <c r="K36" s="381"/>
      <c r="L36" s="381" t="str">
        <f>IF(AND('Matriz final'!$H$65="Baja",'Matriz final'!$L$65="Leve"),CONCATENATE("R",'Matriz final'!$A$65),"")</f>
        <v/>
      </c>
      <c r="M36" s="381"/>
      <c r="N36" s="381" t="str">
        <f>IF(AND('Matriz final'!$H$71="Baja",'Matriz final'!$L$71="Leve"),CONCATENATE("R",'Matriz final'!$A$71),"")</f>
        <v/>
      </c>
      <c r="O36" s="382"/>
      <c r="P36" s="373" t="str">
        <f ca="1">IF(AND('Matriz final'!$H$59="Baja",'Matriz final'!$L$59="Menor"),CONCATENATE("R",'Matriz final'!$A$59),"")</f>
        <v/>
      </c>
      <c r="Q36" s="373"/>
      <c r="R36" s="373" t="str">
        <f>IF(AND('Matriz final'!$H$65="Baja",'Matriz final'!$L$65="Menor"),CONCATENATE("R",'Matriz final'!$A$65),"")</f>
        <v/>
      </c>
      <c r="S36" s="373"/>
      <c r="T36" s="373" t="str">
        <f>IF(AND('Matriz final'!$H$71="Baja",'Matriz final'!$L$71="Menor"),CONCATENATE("R",'Matriz final'!$A$71),"")</f>
        <v/>
      </c>
      <c r="U36" s="374"/>
      <c r="V36" s="372" t="str">
        <f ca="1">IF(AND('Matriz final'!$H$59="Baja",'Matriz final'!$L$59="Moderado"),CONCATENATE("R",'Matriz final'!$A$59),"")</f>
        <v/>
      </c>
      <c r="W36" s="373"/>
      <c r="X36" s="373" t="str">
        <f>IF(AND('Matriz final'!$H$65="Baja",'Matriz final'!$L$65="Moderado"),CONCATENATE("R",'Matriz final'!$A$65),"")</f>
        <v/>
      </c>
      <c r="Y36" s="373"/>
      <c r="Z36" s="373" t="str">
        <f>IF(AND('Matriz final'!$H$71="Baja",'Matriz final'!$L$71="Moderado"),CONCATENATE("R",'Matriz final'!$A$71),"")</f>
        <v/>
      </c>
      <c r="AA36" s="374"/>
      <c r="AB36" s="355" t="str">
        <f ca="1">IF(AND('Matriz final'!$H$59="Baja",'Matriz final'!$L$59="Mayor"),CONCATENATE("R",'Matriz final'!$A$59),"")</f>
        <v/>
      </c>
      <c r="AC36" s="352"/>
      <c r="AD36" s="350" t="str">
        <f>IF(AND('Matriz final'!$H$65="Baja",'Matriz final'!$L$65="Mayor"),CONCATENATE("R",'Matriz final'!$A$65),"")</f>
        <v/>
      </c>
      <c r="AE36" s="350"/>
      <c r="AF36" s="350" t="str">
        <f>IF(AND('Matriz final'!$H$71="Baja",'Matriz final'!$L$71="Mayor"),CONCATENATE("R",'Matriz final'!$A$71),"")</f>
        <v/>
      </c>
      <c r="AG36" s="351"/>
      <c r="AH36" s="363" t="str">
        <f ca="1">IF(AND('Matriz final'!$H$59="Baja",'Matriz final'!$L$59="Catastrófico"),CONCATENATE("R",'Matriz final'!$A$59),"")</f>
        <v/>
      </c>
      <c r="AI36" s="364"/>
      <c r="AJ36" s="364" t="str">
        <f>IF(AND('Matriz final'!$H$65="Baja",'Matriz final'!$L$65="Catastrófico"),CONCATENATE("R",'Matriz final'!$A$65),"")</f>
        <v/>
      </c>
      <c r="AK36" s="364"/>
      <c r="AL36" s="364" t="str">
        <f>IF(AND('Matriz final'!$H$71="Baja",'Matriz final'!$L$71="Catastrófico"),CONCATENATE("R",'Matriz final'!$A$71),"")</f>
        <v/>
      </c>
      <c r="AM36" s="365"/>
      <c r="AN36" s="44"/>
      <c r="AO36" s="335"/>
      <c r="AP36" s="336"/>
      <c r="AQ36" s="336"/>
      <c r="AR36" s="336"/>
      <c r="AS36" s="336"/>
      <c r="AT36" s="337"/>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row>
    <row r="37" spans="1:80" ht="15.75" thickBot="1" x14ac:dyDescent="0.3">
      <c r="A37" s="44"/>
      <c r="B37" s="303"/>
      <c r="C37" s="303"/>
      <c r="D37" s="304"/>
      <c r="E37" s="347"/>
      <c r="F37" s="348"/>
      <c r="G37" s="348"/>
      <c r="H37" s="348"/>
      <c r="I37" s="348"/>
      <c r="J37" s="384"/>
      <c r="K37" s="385"/>
      <c r="L37" s="385"/>
      <c r="M37" s="385"/>
      <c r="N37" s="385"/>
      <c r="O37" s="386"/>
      <c r="P37" s="376"/>
      <c r="Q37" s="376"/>
      <c r="R37" s="376"/>
      <c r="S37" s="376"/>
      <c r="T37" s="376"/>
      <c r="U37" s="377"/>
      <c r="V37" s="375"/>
      <c r="W37" s="376"/>
      <c r="X37" s="376"/>
      <c r="Y37" s="376"/>
      <c r="Z37" s="376"/>
      <c r="AA37" s="377"/>
      <c r="AB37" s="360"/>
      <c r="AC37" s="361"/>
      <c r="AD37" s="361"/>
      <c r="AE37" s="361"/>
      <c r="AF37" s="361"/>
      <c r="AG37" s="362"/>
      <c r="AH37" s="366"/>
      <c r="AI37" s="367"/>
      <c r="AJ37" s="367"/>
      <c r="AK37" s="367"/>
      <c r="AL37" s="367"/>
      <c r="AM37" s="368"/>
      <c r="AN37" s="44"/>
      <c r="AO37" s="338"/>
      <c r="AP37" s="339"/>
      <c r="AQ37" s="339"/>
      <c r="AR37" s="339"/>
      <c r="AS37" s="339"/>
      <c r="AT37" s="340"/>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row>
    <row r="38" spans="1:80" x14ac:dyDescent="0.25">
      <c r="A38" s="44"/>
      <c r="B38" s="303"/>
      <c r="C38" s="303"/>
      <c r="D38" s="304"/>
      <c r="E38" s="341" t="s">
        <v>112</v>
      </c>
      <c r="F38" s="342"/>
      <c r="G38" s="342"/>
      <c r="H38" s="342"/>
      <c r="I38" s="343"/>
      <c r="J38" s="387" t="str">
        <f ca="1">IF(AND('Matriz final'!$H$12="Muy Baja",'Matriz final'!$L$12="Leve"),CONCATENATE("R",'Matriz final'!$A$12),"")</f>
        <v/>
      </c>
      <c r="K38" s="388"/>
      <c r="L38" s="388" t="e">
        <f>IF(AND('Matriz final'!#REF!="Muy Baja",'Matriz final'!#REF!="Leve"),CONCATENATE("R",'Matriz final'!#REF!),"")</f>
        <v>#REF!</v>
      </c>
      <c r="M38" s="388"/>
      <c r="N38" s="388" t="str">
        <f ca="1">IF(AND('Matriz final'!$H$17="Muy Baja",'Matriz final'!$L$17="Leve"),CONCATENATE("R",'Matriz final'!$A$17),"")</f>
        <v/>
      </c>
      <c r="O38" s="389"/>
      <c r="P38" s="387" t="str">
        <f ca="1">IF(AND('Matriz final'!$H$12="Muy Baja",'Matriz final'!$L$12="Menor"),CONCATENATE("R",'Matriz final'!$A$12),"")</f>
        <v/>
      </c>
      <c r="Q38" s="388"/>
      <c r="R38" s="388" t="e">
        <f>IF(AND('Matriz final'!#REF!="Muy Baja",'Matriz final'!#REF!="Menor"),CONCATENATE("R",'Matriz final'!#REF!),"")</f>
        <v>#REF!</v>
      </c>
      <c r="S38" s="388"/>
      <c r="T38" s="388" t="str">
        <f ca="1">IF(AND('Matriz final'!$H$17="Muy Baja",'Matriz final'!$L$17="Menor"),CONCATENATE("R",'Matriz final'!$A$17),"")</f>
        <v/>
      </c>
      <c r="U38" s="389"/>
      <c r="V38" s="378" t="str">
        <f ca="1">IF(AND('Matriz final'!$H$12="Muy Baja",'Matriz final'!$L$12="Moderado"),CONCATENATE("R",'Matriz final'!$A$12),"")</f>
        <v/>
      </c>
      <c r="W38" s="379"/>
      <c r="X38" s="379" t="e">
        <f>IF(AND('Matriz final'!#REF!="Muy Baja",'Matriz final'!#REF!="Moderado"),CONCATENATE("R",'Matriz final'!#REF!),"")</f>
        <v>#REF!</v>
      </c>
      <c r="Y38" s="379"/>
      <c r="Z38" s="379" t="str">
        <f ca="1">IF(AND('Matriz final'!$H$17="Muy Baja",'Matriz final'!$L$17="Moderado"),CONCATENATE("R",'Matriz final'!$A$17),"")</f>
        <v/>
      </c>
      <c r="AA38" s="380"/>
      <c r="AB38" s="353" t="str">
        <f ca="1">IF(AND('Matriz final'!$H$12="Muy Baja",'Matriz final'!$L$12="Mayor"),CONCATENATE("R",'Matriz final'!$A$12),"")</f>
        <v/>
      </c>
      <c r="AC38" s="354"/>
      <c r="AD38" s="354" t="e">
        <f>IF(AND('Matriz final'!#REF!="Muy Baja",'Matriz final'!#REF!="Mayor"),CONCATENATE("R",'Matriz final'!#REF!),"")</f>
        <v>#REF!</v>
      </c>
      <c r="AE38" s="354"/>
      <c r="AF38" s="354" t="str">
        <f ca="1">IF(AND('Matriz final'!$H$17="Muy Baja",'Matriz final'!$L$17="Mayor"),CONCATENATE("R",'Matriz final'!$A$17),"")</f>
        <v/>
      </c>
      <c r="AG38" s="356"/>
      <c r="AH38" s="369" t="str">
        <f ca="1">IF(AND('Matriz final'!$H$12="Muy Baja",'Matriz final'!$L$12="Catastrófico"),CONCATENATE("R",'Matriz final'!$A$12),"")</f>
        <v/>
      </c>
      <c r="AI38" s="370"/>
      <c r="AJ38" s="370" t="e">
        <f>IF(AND('Matriz final'!#REF!="Muy Baja",'Matriz final'!#REF!="Catastrófico"),CONCATENATE("R",'Matriz final'!#REF!),"")</f>
        <v>#REF!</v>
      </c>
      <c r="AK38" s="370"/>
      <c r="AL38" s="370" t="str">
        <f ca="1">IF(AND('Matriz final'!$H$17="Muy Baja",'Matriz final'!$L$17="Catastrófico"),CONCATENATE("R",'Matriz final'!$A$17),"")</f>
        <v/>
      </c>
      <c r="AM38" s="371"/>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row>
    <row r="39" spans="1:80" x14ac:dyDescent="0.25">
      <c r="A39" s="44"/>
      <c r="B39" s="303"/>
      <c r="C39" s="303"/>
      <c r="D39" s="304"/>
      <c r="E39" s="344"/>
      <c r="F39" s="345"/>
      <c r="G39" s="345"/>
      <c r="H39" s="345"/>
      <c r="I39" s="346"/>
      <c r="J39" s="383"/>
      <c r="K39" s="381"/>
      <c r="L39" s="381"/>
      <c r="M39" s="381"/>
      <c r="N39" s="381"/>
      <c r="O39" s="382"/>
      <c r="P39" s="383"/>
      <c r="Q39" s="381"/>
      <c r="R39" s="381"/>
      <c r="S39" s="381"/>
      <c r="T39" s="381"/>
      <c r="U39" s="382"/>
      <c r="V39" s="372"/>
      <c r="W39" s="373"/>
      <c r="X39" s="373"/>
      <c r="Y39" s="373"/>
      <c r="Z39" s="373"/>
      <c r="AA39" s="374"/>
      <c r="AB39" s="355"/>
      <c r="AC39" s="352"/>
      <c r="AD39" s="352"/>
      <c r="AE39" s="352"/>
      <c r="AF39" s="352"/>
      <c r="AG39" s="351"/>
      <c r="AH39" s="363"/>
      <c r="AI39" s="364"/>
      <c r="AJ39" s="364"/>
      <c r="AK39" s="364"/>
      <c r="AL39" s="364"/>
      <c r="AM39" s="365"/>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row>
    <row r="40" spans="1:80" x14ac:dyDescent="0.25">
      <c r="A40" s="44"/>
      <c r="B40" s="303"/>
      <c r="C40" s="303"/>
      <c r="D40" s="304"/>
      <c r="E40" s="344"/>
      <c r="F40" s="345"/>
      <c r="G40" s="345"/>
      <c r="H40" s="345"/>
      <c r="I40" s="346"/>
      <c r="J40" s="383" t="str">
        <f ca="1">IF(AND('Matriz final'!$H$23="Muy Baja",'Matriz final'!$L$23="Leve"),CONCATENATE("R",'Matriz final'!$A$23),"")</f>
        <v/>
      </c>
      <c r="K40" s="381"/>
      <c r="L40" s="381" t="str">
        <f ca="1">IF(AND('Matriz final'!$H$29="Muy Baja",'Matriz final'!$L$29="Leve"),CONCATENATE("R",'Matriz final'!$A$29),"")</f>
        <v/>
      </c>
      <c r="M40" s="381"/>
      <c r="N40" s="381" t="str">
        <f ca="1">IF(AND('Matriz final'!$H$35="Muy Baja",'Matriz final'!$L$35="Leve"),CONCATENATE("R",'Matriz final'!$A$35),"")</f>
        <v/>
      </c>
      <c r="O40" s="382"/>
      <c r="P40" s="383" t="str">
        <f ca="1">IF(AND('Matriz final'!$H$23="Muy Baja",'Matriz final'!$L$23="Menor"),CONCATENATE("R",'Matriz final'!$A$23),"")</f>
        <v/>
      </c>
      <c r="Q40" s="381"/>
      <c r="R40" s="381" t="str">
        <f ca="1">IF(AND('Matriz final'!$H$29="Muy Baja",'Matriz final'!$L$29="Menor"),CONCATENATE("R",'Matriz final'!$A$29),"")</f>
        <v/>
      </c>
      <c r="S40" s="381"/>
      <c r="T40" s="381" t="str">
        <f ca="1">IF(AND('Matriz final'!$H$35="Muy Baja",'Matriz final'!$L$35="Menor"),CONCATENATE("R",'Matriz final'!$A$35),"")</f>
        <v/>
      </c>
      <c r="U40" s="382"/>
      <c r="V40" s="372" t="str">
        <f ca="1">IF(AND('Matriz final'!$H$23="Muy Baja",'Matriz final'!$L$23="Moderado"),CONCATENATE("R",'Matriz final'!$A$23),"")</f>
        <v/>
      </c>
      <c r="W40" s="373"/>
      <c r="X40" s="373" t="str">
        <f ca="1">IF(AND('Matriz final'!$H$29="Muy Baja",'Matriz final'!$L$29="Moderado"),CONCATENATE("R",'Matriz final'!$A$29),"")</f>
        <v/>
      </c>
      <c r="Y40" s="373"/>
      <c r="Z40" s="373" t="str">
        <f ca="1">IF(AND('Matriz final'!$H$35="Muy Baja",'Matriz final'!$L$35="Moderado"),CONCATENATE("R",'Matriz final'!$A$35),"")</f>
        <v/>
      </c>
      <c r="AA40" s="374"/>
      <c r="AB40" s="355" t="str">
        <f ca="1">IF(AND('Matriz final'!$H$23="Muy Baja",'Matriz final'!$L$23="Mayor"),CONCATENATE("R",'Matriz final'!$A$23),"")</f>
        <v/>
      </c>
      <c r="AC40" s="352"/>
      <c r="AD40" s="350" t="str">
        <f ca="1">IF(AND('Matriz final'!$H$29="Muy Baja",'Matriz final'!$L$29="Mayor"),CONCATENATE("R",'Matriz final'!$A$29),"")</f>
        <v/>
      </c>
      <c r="AE40" s="350"/>
      <c r="AF40" s="350" t="str">
        <f ca="1">IF(AND('Matriz final'!$H$35="Muy Baja",'Matriz final'!$L$35="Mayor"),CONCATENATE("R",'Matriz final'!$A$35),"")</f>
        <v/>
      </c>
      <c r="AG40" s="351"/>
      <c r="AH40" s="363" t="str">
        <f ca="1">IF(AND('Matriz final'!$H$23="Muy Baja",'Matriz final'!$L$23="Catastrófico"),CONCATENATE("R",'Matriz final'!$A$23),"")</f>
        <v/>
      </c>
      <c r="AI40" s="364"/>
      <c r="AJ40" s="364" t="str">
        <f ca="1">IF(AND('Matriz final'!$H$29="Muy Baja",'Matriz final'!$L$29="Catastrófico"),CONCATENATE("R",'Matriz final'!$A$29),"")</f>
        <v/>
      </c>
      <c r="AK40" s="364"/>
      <c r="AL40" s="364" t="str">
        <f ca="1">IF(AND('Matriz final'!$H$35="Muy Baja",'Matriz final'!$L$35="Catastrófico"),CONCATENATE("R",'Matriz final'!$A$35),"")</f>
        <v/>
      </c>
      <c r="AM40" s="365"/>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row>
    <row r="41" spans="1:80" x14ac:dyDescent="0.25">
      <c r="A41" s="44"/>
      <c r="B41" s="303"/>
      <c r="C41" s="303"/>
      <c r="D41" s="304"/>
      <c r="E41" s="344"/>
      <c r="F41" s="345"/>
      <c r="G41" s="345"/>
      <c r="H41" s="345"/>
      <c r="I41" s="346"/>
      <c r="J41" s="383"/>
      <c r="K41" s="381"/>
      <c r="L41" s="381"/>
      <c r="M41" s="381"/>
      <c r="N41" s="381"/>
      <c r="O41" s="382"/>
      <c r="P41" s="383"/>
      <c r="Q41" s="381"/>
      <c r="R41" s="381"/>
      <c r="S41" s="381"/>
      <c r="T41" s="381"/>
      <c r="U41" s="382"/>
      <c r="V41" s="372"/>
      <c r="W41" s="373"/>
      <c r="X41" s="373"/>
      <c r="Y41" s="373"/>
      <c r="Z41" s="373"/>
      <c r="AA41" s="374"/>
      <c r="AB41" s="355"/>
      <c r="AC41" s="352"/>
      <c r="AD41" s="350"/>
      <c r="AE41" s="350"/>
      <c r="AF41" s="350"/>
      <c r="AG41" s="351"/>
      <c r="AH41" s="363"/>
      <c r="AI41" s="364"/>
      <c r="AJ41" s="364"/>
      <c r="AK41" s="364"/>
      <c r="AL41" s="364"/>
      <c r="AM41" s="365"/>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row>
    <row r="42" spans="1:80" x14ac:dyDescent="0.25">
      <c r="A42" s="44"/>
      <c r="B42" s="303"/>
      <c r="C42" s="303"/>
      <c r="D42" s="304"/>
      <c r="E42" s="344"/>
      <c r="F42" s="345"/>
      <c r="G42" s="345"/>
      <c r="H42" s="345"/>
      <c r="I42" s="346"/>
      <c r="J42" s="383" t="str">
        <f ca="1">IF(AND('Matriz final'!$H$41="Muy Baja",'Matriz final'!$L$41="Leve"),CONCATENATE("R",'Matriz final'!$A$41),"")</f>
        <v/>
      </c>
      <c r="K42" s="381"/>
      <c r="L42" s="381" t="str">
        <f ca="1">IF(AND('Matriz final'!$H$47="Muy Baja",'Matriz final'!$L$47="Leve"),CONCATENATE("R",'Matriz final'!$A$47),"")</f>
        <v/>
      </c>
      <c r="M42" s="381"/>
      <c r="N42" s="381" t="str">
        <f ca="1">IF(AND('Matriz final'!$H$53="Muy Baja",'Matriz final'!$L$53="Leve"),CONCATENATE("R",'Matriz final'!$A$53),"")</f>
        <v/>
      </c>
      <c r="O42" s="382"/>
      <c r="P42" s="383" t="str">
        <f ca="1">IF(AND('Matriz final'!$H$41="Muy Baja",'Matriz final'!$L$41="Menor"),CONCATENATE("R",'Matriz final'!$A$41),"")</f>
        <v/>
      </c>
      <c r="Q42" s="381"/>
      <c r="R42" s="381" t="str">
        <f ca="1">IF(AND('Matriz final'!$H$47="Muy Baja",'Matriz final'!$L$47="Menor"),CONCATENATE("R",'Matriz final'!$A$47),"")</f>
        <v/>
      </c>
      <c r="S42" s="381"/>
      <c r="T42" s="381" t="str">
        <f ca="1">IF(AND('Matriz final'!$H$53="Muy Baja",'Matriz final'!$L$53="Menor"),CONCATENATE("R",'Matriz final'!$A$53),"")</f>
        <v/>
      </c>
      <c r="U42" s="382"/>
      <c r="V42" s="372" t="str">
        <f ca="1">IF(AND('Matriz final'!$H$41="Muy Baja",'Matriz final'!$L$41="Moderado"),CONCATENATE("R",'Matriz final'!$A$41),"")</f>
        <v/>
      </c>
      <c r="W42" s="373"/>
      <c r="X42" s="373" t="str">
        <f ca="1">IF(AND('Matriz final'!$H$47="Muy Baja",'Matriz final'!$L$47="Moderado"),CONCATENATE("R",'Matriz final'!$A$47),"")</f>
        <v/>
      </c>
      <c r="Y42" s="373"/>
      <c r="Z42" s="373" t="str">
        <f ca="1">IF(AND('Matriz final'!$H$53="Muy Baja",'Matriz final'!$L$53="Moderado"),CONCATENATE("R",'Matriz final'!$A$53),"")</f>
        <v/>
      </c>
      <c r="AA42" s="374"/>
      <c r="AB42" s="355" t="str">
        <f ca="1">IF(AND('Matriz final'!$H$41="Muy Baja",'Matriz final'!$L$41="Mayor"),CONCATENATE("R",'Matriz final'!$A$41),"")</f>
        <v/>
      </c>
      <c r="AC42" s="352"/>
      <c r="AD42" s="350" t="str">
        <f ca="1">IF(AND('Matriz final'!$H$47="Muy Baja",'Matriz final'!$L$47="Mayor"),CONCATENATE("R",'Matriz final'!$A$47),"")</f>
        <v/>
      </c>
      <c r="AE42" s="350"/>
      <c r="AF42" s="350" t="str">
        <f ca="1">IF(AND('Matriz final'!$H$53="Muy Baja",'Matriz final'!$L$53="Mayor"),CONCATENATE("R",'Matriz final'!$A$53),"")</f>
        <v/>
      </c>
      <c r="AG42" s="351"/>
      <c r="AH42" s="363" t="str">
        <f ca="1">IF(AND('Matriz final'!$H$41="Muy Baja",'Matriz final'!$L$41="Catastrófico"),CONCATENATE("R",'Matriz final'!$A$41),"")</f>
        <v/>
      </c>
      <c r="AI42" s="364"/>
      <c r="AJ42" s="364" t="str">
        <f ca="1">IF(AND('Matriz final'!$H$47="Muy Baja",'Matriz final'!$L$47="Catastrófico"),CONCATENATE("R",'Matriz final'!$A$47),"")</f>
        <v/>
      </c>
      <c r="AK42" s="364"/>
      <c r="AL42" s="364" t="str">
        <f ca="1">IF(AND('Matriz final'!$H$53="Muy Baja",'Matriz final'!$L$53="Catastrófico"),CONCATENATE("R",'Matriz final'!$A$53),"")</f>
        <v/>
      </c>
      <c r="AM42" s="365"/>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row>
    <row r="43" spans="1:80" x14ac:dyDescent="0.25">
      <c r="A43" s="44"/>
      <c r="B43" s="303"/>
      <c r="C43" s="303"/>
      <c r="D43" s="304"/>
      <c r="E43" s="344"/>
      <c r="F43" s="345"/>
      <c r="G43" s="345"/>
      <c r="H43" s="345"/>
      <c r="I43" s="346"/>
      <c r="J43" s="383"/>
      <c r="K43" s="381"/>
      <c r="L43" s="381"/>
      <c r="M43" s="381"/>
      <c r="N43" s="381"/>
      <c r="O43" s="382"/>
      <c r="P43" s="383"/>
      <c r="Q43" s="381"/>
      <c r="R43" s="381"/>
      <c r="S43" s="381"/>
      <c r="T43" s="381"/>
      <c r="U43" s="382"/>
      <c r="V43" s="372"/>
      <c r="W43" s="373"/>
      <c r="X43" s="373"/>
      <c r="Y43" s="373"/>
      <c r="Z43" s="373"/>
      <c r="AA43" s="374"/>
      <c r="AB43" s="355"/>
      <c r="AC43" s="352"/>
      <c r="AD43" s="350"/>
      <c r="AE43" s="350"/>
      <c r="AF43" s="350"/>
      <c r="AG43" s="351"/>
      <c r="AH43" s="363"/>
      <c r="AI43" s="364"/>
      <c r="AJ43" s="364"/>
      <c r="AK43" s="364"/>
      <c r="AL43" s="364"/>
      <c r="AM43" s="365"/>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row>
    <row r="44" spans="1:80" x14ac:dyDescent="0.25">
      <c r="A44" s="44"/>
      <c r="B44" s="303"/>
      <c r="C44" s="303"/>
      <c r="D44" s="304"/>
      <c r="E44" s="344"/>
      <c r="F44" s="345"/>
      <c r="G44" s="345"/>
      <c r="H44" s="345"/>
      <c r="I44" s="346"/>
      <c r="J44" s="383" t="str">
        <f ca="1">IF(AND('Matriz final'!$H$59="Muy Baja",'Matriz final'!$L$59="Leve"),CONCATENATE("R",'Matriz final'!$A$59),"")</f>
        <v/>
      </c>
      <c r="K44" s="381"/>
      <c r="L44" s="381" t="str">
        <f>IF(AND('Matriz final'!$H$65="Muy Baja",'Matriz final'!$L$65="Leve"),CONCATENATE("R",'Matriz final'!$A$65),"")</f>
        <v/>
      </c>
      <c r="M44" s="381"/>
      <c r="N44" s="381" t="str">
        <f>IF(AND('Matriz final'!$H$71="Muy Baja",'Matriz final'!$L$71="Leve"),CONCATENATE("R",'Matriz final'!$A$71),"")</f>
        <v/>
      </c>
      <c r="O44" s="382"/>
      <c r="P44" s="383" t="str">
        <f ca="1">IF(AND('Matriz final'!$H$59="Muy Baja",'Matriz final'!$L$59="Menor"),CONCATENATE("R",'Matriz final'!$A$59),"")</f>
        <v/>
      </c>
      <c r="Q44" s="381"/>
      <c r="R44" s="381" t="str">
        <f>IF(AND('Matriz final'!$H$65="Muy Baja",'Matriz final'!$L$65="Menor"),CONCATENATE("R",'Matriz final'!$A$65),"")</f>
        <v/>
      </c>
      <c r="S44" s="381"/>
      <c r="T44" s="381" t="str">
        <f>IF(AND('Matriz final'!$H$71="Muy Baja",'Matriz final'!$L$71="Menor"),CONCATENATE("R",'Matriz final'!$A$71),"")</f>
        <v/>
      </c>
      <c r="U44" s="382"/>
      <c r="V44" s="372" t="str">
        <f ca="1">IF(AND('Matriz final'!$H$59="Muy Baja",'Matriz final'!$L$59="Moderado"),CONCATENATE("R",'Matriz final'!$A$59),"")</f>
        <v/>
      </c>
      <c r="W44" s="373"/>
      <c r="X44" s="373" t="str">
        <f>IF(AND('Matriz final'!$H$65="Muy Baja",'Matriz final'!$L$65="Moderado"),CONCATENATE("R",'Matriz final'!$A$65),"")</f>
        <v/>
      </c>
      <c r="Y44" s="373"/>
      <c r="Z44" s="373" t="str">
        <f>IF(AND('Matriz final'!$H$71="Muy Baja",'Matriz final'!$L$71="Moderado"),CONCATENATE("R",'Matriz final'!$A$71),"")</f>
        <v/>
      </c>
      <c r="AA44" s="374"/>
      <c r="AB44" s="355" t="str">
        <f ca="1">IF(AND('Matriz final'!$H$59="Muy Baja",'Matriz final'!$L$59="Mayor"),CONCATENATE("R",'Matriz final'!$A$59),"")</f>
        <v/>
      </c>
      <c r="AC44" s="352"/>
      <c r="AD44" s="350" t="str">
        <f>IF(AND('Matriz final'!$H$65="Muy Baja",'Matriz final'!$L$65="Mayor"),CONCATENATE("R",'Matriz final'!$A$65),"")</f>
        <v/>
      </c>
      <c r="AE44" s="350"/>
      <c r="AF44" s="350" t="str">
        <f>IF(AND('Matriz final'!$H$71="Muy Baja",'Matriz final'!$L$71="Mayor"),CONCATENATE("R",'Matriz final'!$A$71),"")</f>
        <v/>
      </c>
      <c r="AG44" s="351"/>
      <c r="AH44" s="363" t="str">
        <f ca="1">IF(AND('Matriz final'!$H$59="Muy Baja",'Matriz final'!$L$59="Catastrófico"),CONCATENATE("R",'Matriz final'!$A$59),"")</f>
        <v/>
      </c>
      <c r="AI44" s="364"/>
      <c r="AJ44" s="364" t="str">
        <f>IF(AND('Matriz final'!$H$65="Muy Baja",'Matriz final'!$L$65="Catastrófico"),CONCATENATE("R",'Matriz final'!$A$65),"")</f>
        <v/>
      </c>
      <c r="AK44" s="364"/>
      <c r="AL44" s="364" t="str">
        <f>IF(AND('Matriz final'!$H$71="Muy Baja",'Matriz final'!$L$71="Catastrófico"),CONCATENATE("R",'Matriz final'!$A$71),"")</f>
        <v/>
      </c>
      <c r="AM44" s="365"/>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row>
    <row r="45" spans="1:80" ht="15.75" thickBot="1" x14ac:dyDescent="0.3">
      <c r="A45" s="44"/>
      <c r="B45" s="303"/>
      <c r="C45" s="303"/>
      <c r="D45" s="304"/>
      <c r="E45" s="347"/>
      <c r="F45" s="348"/>
      <c r="G45" s="348"/>
      <c r="H45" s="348"/>
      <c r="I45" s="349"/>
      <c r="J45" s="384"/>
      <c r="K45" s="385"/>
      <c r="L45" s="385"/>
      <c r="M45" s="385"/>
      <c r="N45" s="385"/>
      <c r="O45" s="386"/>
      <c r="P45" s="384"/>
      <c r="Q45" s="385"/>
      <c r="R45" s="385"/>
      <c r="S45" s="385"/>
      <c r="T45" s="385"/>
      <c r="U45" s="386"/>
      <c r="V45" s="375"/>
      <c r="W45" s="376"/>
      <c r="X45" s="376"/>
      <c r="Y45" s="376"/>
      <c r="Z45" s="376"/>
      <c r="AA45" s="377"/>
      <c r="AB45" s="360"/>
      <c r="AC45" s="361"/>
      <c r="AD45" s="361"/>
      <c r="AE45" s="361"/>
      <c r="AF45" s="361"/>
      <c r="AG45" s="362"/>
      <c r="AH45" s="366"/>
      <c r="AI45" s="367"/>
      <c r="AJ45" s="367"/>
      <c r="AK45" s="367"/>
      <c r="AL45" s="367"/>
      <c r="AM45" s="368"/>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row>
    <row r="46" spans="1:80" x14ac:dyDescent="0.25">
      <c r="A46" s="44"/>
      <c r="B46" s="44"/>
      <c r="C46" s="44"/>
      <c r="D46" s="44"/>
      <c r="E46" s="44"/>
      <c r="F46" s="44"/>
      <c r="G46" s="44"/>
      <c r="H46" s="44"/>
      <c r="I46" s="44"/>
      <c r="J46" s="341" t="s">
        <v>111</v>
      </c>
      <c r="K46" s="342"/>
      <c r="L46" s="342"/>
      <c r="M46" s="342"/>
      <c r="N46" s="342"/>
      <c r="O46" s="343"/>
      <c r="P46" s="341" t="s">
        <v>110</v>
      </c>
      <c r="Q46" s="342"/>
      <c r="R46" s="342"/>
      <c r="S46" s="342"/>
      <c r="T46" s="342"/>
      <c r="U46" s="343"/>
      <c r="V46" s="341" t="s">
        <v>109</v>
      </c>
      <c r="W46" s="342"/>
      <c r="X46" s="342"/>
      <c r="Y46" s="342"/>
      <c r="Z46" s="342"/>
      <c r="AA46" s="343"/>
      <c r="AB46" s="341" t="s">
        <v>108</v>
      </c>
      <c r="AC46" s="359"/>
      <c r="AD46" s="342"/>
      <c r="AE46" s="342"/>
      <c r="AF46" s="342"/>
      <c r="AG46" s="343"/>
      <c r="AH46" s="341" t="s">
        <v>107</v>
      </c>
      <c r="AI46" s="342"/>
      <c r="AJ46" s="342"/>
      <c r="AK46" s="342"/>
      <c r="AL46" s="342"/>
      <c r="AM46" s="343"/>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row>
    <row r="47" spans="1:80" x14ac:dyDescent="0.25">
      <c r="A47" s="44"/>
      <c r="B47" s="44"/>
      <c r="C47" s="44"/>
      <c r="D47" s="44"/>
      <c r="E47" s="44"/>
      <c r="F47" s="44"/>
      <c r="G47" s="44"/>
      <c r="H47" s="44"/>
      <c r="I47" s="44"/>
      <c r="J47" s="344"/>
      <c r="K47" s="345"/>
      <c r="L47" s="345"/>
      <c r="M47" s="345"/>
      <c r="N47" s="345"/>
      <c r="O47" s="346"/>
      <c r="P47" s="344"/>
      <c r="Q47" s="345"/>
      <c r="R47" s="345"/>
      <c r="S47" s="345"/>
      <c r="T47" s="345"/>
      <c r="U47" s="346"/>
      <c r="V47" s="344"/>
      <c r="W47" s="345"/>
      <c r="X47" s="345"/>
      <c r="Y47" s="345"/>
      <c r="Z47" s="345"/>
      <c r="AA47" s="346"/>
      <c r="AB47" s="344"/>
      <c r="AC47" s="345"/>
      <c r="AD47" s="345"/>
      <c r="AE47" s="345"/>
      <c r="AF47" s="345"/>
      <c r="AG47" s="346"/>
      <c r="AH47" s="344"/>
      <c r="AI47" s="345"/>
      <c r="AJ47" s="345"/>
      <c r="AK47" s="345"/>
      <c r="AL47" s="345"/>
      <c r="AM47" s="346"/>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row>
    <row r="48" spans="1:80" x14ac:dyDescent="0.25">
      <c r="A48" s="44"/>
      <c r="B48" s="44"/>
      <c r="C48" s="44"/>
      <c r="D48" s="44"/>
      <c r="E48" s="44"/>
      <c r="F48" s="44"/>
      <c r="G48" s="44"/>
      <c r="H48" s="44"/>
      <c r="I48" s="44"/>
      <c r="J48" s="344"/>
      <c r="K48" s="345"/>
      <c r="L48" s="345"/>
      <c r="M48" s="345"/>
      <c r="N48" s="345"/>
      <c r="O48" s="346"/>
      <c r="P48" s="344"/>
      <c r="Q48" s="345"/>
      <c r="R48" s="345"/>
      <c r="S48" s="345"/>
      <c r="T48" s="345"/>
      <c r="U48" s="346"/>
      <c r="V48" s="344"/>
      <c r="W48" s="345"/>
      <c r="X48" s="345"/>
      <c r="Y48" s="345"/>
      <c r="Z48" s="345"/>
      <c r="AA48" s="346"/>
      <c r="AB48" s="344"/>
      <c r="AC48" s="345"/>
      <c r="AD48" s="345"/>
      <c r="AE48" s="345"/>
      <c r="AF48" s="345"/>
      <c r="AG48" s="346"/>
      <c r="AH48" s="344"/>
      <c r="AI48" s="345"/>
      <c r="AJ48" s="345"/>
      <c r="AK48" s="345"/>
      <c r="AL48" s="345"/>
      <c r="AM48" s="346"/>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row>
    <row r="49" spans="1:80" x14ac:dyDescent="0.25">
      <c r="A49" s="44"/>
      <c r="B49" s="44"/>
      <c r="C49" s="44"/>
      <c r="D49" s="44"/>
      <c r="E49" s="44"/>
      <c r="F49" s="44"/>
      <c r="G49" s="44"/>
      <c r="H49" s="44"/>
      <c r="I49" s="44"/>
      <c r="J49" s="344"/>
      <c r="K49" s="345"/>
      <c r="L49" s="345"/>
      <c r="M49" s="345"/>
      <c r="N49" s="345"/>
      <c r="O49" s="346"/>
      <c r="P49" s="344"/>
      <c r="Q49" s="345"/>
      <c r="R49" s="345"/>
      <c r="S49" s="345"/>
      <c r="T49" s="345"/>
      <c r="U49" s="346"/>
      <c r="V49" s="344"/>
      <c r="W49" s="345"/>
      <c r="X49" s="345"/>
      <c r="Y49" s="345"/>
      <c r="Z49" s="345"/>
      <c r="AA49" s="346"/>
      <c r="AB49" s="344"/>
      <c r="AC49" s="345"/>
      <c r="AD49" s="345"/>
      <c r="AE49" s="345"/>
      <c r="AF49" s="345"/>
      <c r="AG49" s="346"/>
      <c r="AH49" s="344"/>
      <c r="AI49" s="345"/>
      <c r="AJ49" s="345"/>
      <c r="AK49" s="345"/>
      <c r="AL49" s="345"/>
      <c r="AM49" s="346"/>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row>
    <row r="50" spans="1:80" x14ac:dyDescent="0.25">
      <c r="A50" s="44"/>
      <c r="B50" s="44"/>
      <c r="C50" s="44"/>
      <c r="D50" s="44"/>
      <c r="E50" s="44"/>
      <c r="F50" s="44"/>
      <c r="G50" s="44"/>
      <c r="H50" s="44"/>
      <c r="I50" s="44"/>
      <c r="J50" s="344"/>
      <c r="K50" s="345"/>
      <c r="L50" s="345"/>
      <c r="M50" s="345"/>
      <c r="N50" s="345"/>
      <c r="O50" s="346"/>
      <c r="P50" s="344"/>
      <c r="Q50" s="345"/>
      <c r="R50" s="345"/>
      <c r="S50" s="345"/>
      <c r="T50" s="345"/>
      <c r="U50" s="346"/>
      <c r="V50" s="344"/>
      <c r="W50" s="345"/>
      <c r="X50" s="345"/>
      <c r="Y50" s="345"/>
      <c r="Z50" s="345"/>
      <c r="AA50" s="346"/>
      <c r="AB50" s="344"/>
      <c r="AC50" s="345"/>
      <c r="AD50" s="345"/>
      <c r="AE50" s="345"/>
      <c r="AF50" s="345"/>
      <c r="AG50" s="346"/>
      <c r="AH50" s="344"/>
      <c r="AI50" s="345"/>
      <c r="AJ50" s="345"/>
      <c r="AK50" s="345"/>
      <c r="AL50" s="345"/>
      <c r="AM50" s="346"/>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c r="CA50" s="44"/>
      <c r="CB50" s="44"/>
    </row>
    <row r="51" spans="1:80" ht="15.75" thickBot="1" x14ac:dyDescent="0.3">
      <c r="A51" s="44"/>
      <c r="B51" s="44"/>
      <c r="C51" s="44"/>
      <c r="D51" s="44"/>
      <c r="E51" s="44"/>
      <c r="F51" s="44"/>
      <c r="G51" s="44"/>
      <c r="H51" s="44"/>
      <c r="I51" s="44"/>
      <c r="J51" s="347"/>
      <c r="K51" s="348"/>
      <c r="L51" s="348"/>
      <c r="M51" s="348"/>
      <c r="N51" s="348"/>
      <c r="O51" s="349"/>
      <c r="P51" s="347"/>
      <c r="Q51" s="348"/>
      <c r="R51" s="348"/>
      <c r="S51" s="348"/>
      <c r="T51" s="348"/>
      <c r="U51" s="349"/>
      <c r="V51" s="347"/>
      <c r="W51" s="348"/>
      <c r="X51" s="348"/>
      <c r="Y51" s="348"/>
      <c r="Z51" s="348"/>
      <c r="AA51" s="349"/>
      <c r="AB51" s="347"/>
      <c r="AC51" s="348"/>
      <c r="AD51" s="348"/>
      <c r="AE51" s="348"/>
      <c r="AF51" s="348"/>
      <c r="AG51" s="349"/>
      <c r="AH51" s="347"/>
      <c r="AI51" s="348"/>
      <c r="AJ51" s="348"/>
      <c r="AK51" s="348"/>
      <c r="AL51" s="348"/>
      <c r="AM51" s="349"/>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c r="CA51" s="44"/>
      <c r="CB51" s="44"/>
    </row>
    <row r="52" spans="1:80" x14ac:dyDescent="0.25">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row>
    <row r="53" spans="1:80" ht="15" customHeight="1" x14ac:dyDescent="0.25">
      <c r="A53" s="44"/>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row>
    <row r="54" spans="1:80" ht="15" customHeight="1" x14ac:dyDescent="0.25">
      <c r="A54" s="44"/>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c r="CA54" s="44"/>
      <c r="CB54" s="44"/>
    </row>
    <row r="55" spans="1:80" x14ac:dyDescent="0.25">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row>
    <row r="56" spans="1:80" x14ac:dyDescent="0.25">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row>
    <row r="57" spans="1:80" x14ac:dyDescent="0.25">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row>
    <row r="58" spans="1:80" x14ac:dyDescent="0.25">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row>
    <row r="59" spans="1:80" x14ac:dyDescent="0.25">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row>
    <row r="60" spans="1:80" x14ac:dyDescent="0.25">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c r="CA60" s="44"/>
      <c r="CB60" s="44"/>
    </row>
    <row r="61" spans="1:80" x14ac:dyDescent="0.25">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c r="CA61" s="44"/>
      <c r="CB61" s="44"/>
    </row>
    <row r="62" spans="1:80" x14ac:dyDescent="0.25">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row>
    <row r="63" spans="1:80" x14ac:dyDescent="0.25">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row>
    <row r="64" spans="1:80" x14ac:dyDescent="0.25">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row>
    <row r="65" spans="1:80" x14ac:dyDescent="0.25">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row>
    <row r="66" spans="1:80" x14ac:dyDescent="0.25">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row>
    <row r="67" spans="1:80" x14ac:dyDescent="0.25">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row>
    <row r="68" spans="1:80" x14ac:dyDescent="0.25">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row>
    <row r="69" spans="1:80" x14ac:dyDescent="0.25">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row>
    <row r="70" spans="1:80" x14ac:dyDescent="0.25">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row>
    <row r="71" spans="1:80" x14ac:dyDescent="0.25">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row>
    <row r="72" spans="1:80" x14ac:dyDescent="0.25">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row>
    <row r="73" spans="1:80" x14ac:dyDescent="0.25">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row>
    <row r="74" spans="1:80" x14ac:dyDescent="0.25">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row>
    <row r="75" spans="1:80" x14ac:dyDescent="0.25">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row>
    <row r="76" spans="1:80" x14ac:dyDescent="0.25">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c r="CA76" s="44"/>
      <c r="CB76" s="44"/>
    </row>
    <row r="77" spans="1:80" x14ac:dyDescent="0.25">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row>
    <row r="78" spans="1:80" x14ac:dyDescent="0.25">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row>
    <row r="79" spans="1:80" x14ac:dyDescent="0.25">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row>
    <row r="80" spans="1:80" x14ac:dyDescent="0.25">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row>
    <row r="81" spans="1:63" x14ac:dyDescent="0.25">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row>
    <row r="82" spans="1:63" x14ac:dyDescent="0.25">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row>
    <row r="83" spans="1:63" x14ac:dyDescent="0.25">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row>
    <row r="84" spans="1:63" x14ac:dyDescent="0.25">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row>
    <row r="85" spans="1:63" x14ac:dyDescent="0.25">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row>
    <row r="86" spans="1:63" x14ac:dyDescent="0.25">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row>
    <row r="87" spans="1:63" x14ac:dyDescent="0.25">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row>
    <row r="88" spans="1:63" x14ac:dyDescent="0.25">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row>
    <row r="89" spans="1:63" x14ac:dyDescent="0.25">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row>
    <row r="90" spans="1:63" x14ac:dyDescent="0.25">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row>
    <row r="91" spans="1:63" x14ac:dyDescent="0.2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row>
    <row r="92" spans="1:63" x14ac:dyDescent="0.25">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row>
    <row r="93" spans="1:63" x14ac:dyDescent="0.25">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row>
    <row r="94" spans="1:63" x14ac:dyDescent="0.25">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row>
    <row r="95" spans="1:63" x14ac:dyDescent="0.25">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row>
    <row r="96" spans="1:63" x14ac:dyDescent="0.25">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row>
    <row r="97" spans="1:63" x14ac:dyDescent="0.25">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row>
    <row r="98" spans="1:63" x14ac:dyDescent="0.25">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row>
    <row r="99" spans="1:63" x14ac:dyDescent="0.2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row>
    <row r="100" spans="1:63" x14ac:dyDescent="0.25">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row>
    <row r="101" spans="1:63" x14ac:dyDescent="0.25">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row>
    <row r="102" spans="1:63" x14ac:dyDescent="0.25">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row>
    <row r="103" spans="1:63" x14ac:dyDescent="0.25">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4"/>
      <c r="BJ103" s="44"/>
      <c r="BK103" s="44"/>
    </row>
    <row r="104" spans="1:63" x14ac:dyDescent="0.25">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row>
    <row r="105" spans="1:63" x14ac:dyDescent="0.25">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row>
    <row r="106" spans="1:63" x14ac:dyDescent="0.25">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row>
    <row r="107" spans="1:63" x14ac:dyDescent="0.25">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row>
    <row r="108" spans="1:63" x14ac:dyDescent="0.25">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row>
    <row r="109" spans="1:63" x14ac:dyDescent="0.25">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row>
    <row r="110" spans="1:63" x14ac:dyDescent="0.25">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row>
    <row r="111" spans="1:63" x14ac:dyDescent="0.25">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row>
    <row r="112" spans="1:63" x14ac:dyDescent="0.25">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row>
    <row r="113" spans="1:63" x14ac:dyDescent="0.25">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row>
    <row r="114" spans="1:63" x14ac:dyDescent="0.25">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row>
    <row r="115" spans="1:63" x14ac:dyDescent="0.25">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row>
    <row r="116" spans="1:63" x14ac:dyDescent="0.25">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row>
    <row r="117" spans="1:63" x14ac:dyDescent="0.25">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row>
    <row r="118" spans="1:63" x14ac:dyDescent="0.25">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row>
    <row r="119" spans="1:63" x14ac:dyDescent="0.25">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row>
    <row r="120" spans="1:63" x14ac:dyDescent="0.25">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row>
    <row r="121" spans="1:63" x14ac:dyDescent="0.25">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row>
    <row r="122" spans="1:63" x14ac:dyDescent="0.25">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4"/>
      <c r="BJ122" s="44"/>
      <c r="BK122" s="44"/>
    </row>
    <row r="123" spans="1:63" x14ac:dyDescent="0.25">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row>
    <row r="124" spans="1:63" x14ac:dyDescent="0.25">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row>
    <row r="125" spans="1:63" x14ac:dyDescent="0.25">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row>
    <row r="126" spans="1:63" x14ac:dyDescent="0.25">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row>
    <row r="127" spans="1:63" x14ac:dyDescent="0.25">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row>
    <row r="128" spans="1:63" x14ac:dyDescent="0.25">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row>
    <row r="129" spans="2:63" x14ac:dyDescent="0.25">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row>
    <row r="130" spans="2:63" x14ac:dyDescent="0.25">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row>
    <row r="131" spans="2:63" x14ac:dyDescent="0.25">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row>
    <row r="132" spans="2:63" x14ac:dyDescent="0.25">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4"/>
      <c r="BA132" s="44"/>
      <c r="BB132" s="44"/>
      <c r="BC132" s="44"/>
      <c r="BD132" s="44"/>
      <c r="BE132" s="44"/>
      <c r="BF132" s="44"/>
      <c r="BG132" s="44"/>
      <c r="BH132" s="44"/>
      <c r="BI132" s="44"/>
      <c r="BJ132" s="44"/>
      <c r="BK132" s="44"/>
    </row>
    <row r="133" spans="2:63" x14ac:dyDescent="0.25">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44"/>
      <c r="BA133" s="44"/>
      <c r="BB133" s="44"/>
      <c r="BC133" s="44"/>
      <c r="BD133" s="44"/>
      <c r="BE133" s="44"/>
      <c r="BF133" s="44"/>
      <c r="BG133" s="44"/>
      <c r="BH133" s="44"/>
      <c r="BI133" s="44"/>
      <c r="BJ133" s="44"/>
      <c r="BK133" s="44"/>
    </row>
    <row r="134" spans="2:63" x14ac:dyDescent="0.25">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4"/>
      <c r="AY134" s="44"/>
      <c r="AZ134" s="44"/>
      <c r="BA134" s="44"/>
      <c r="BB134" s="44"/>
      <c r="BC134" s="44"/>
      <c r="BD134" s="44"/>
      <c r="BE134" s="44"/>
      <c r="BF134" s="44"/>
      <c r="BG134" s="44"/>
      <c r="BH134" s="44"/>
      <c r="BI134" s="44"/>
      <c r="BJ134" s="44"/>
      <c r="BK134" s="44"/>
    </row>
    <row r="135" spans="2:63" x14ac:dyDescent="0.25">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c r="AP135" s="44"/>
      <c r="AQ135" s="44"/>
      <c r="AR135" s="44"/>
      <c r="AS135" s="44"/>
      <c r="AT135" s="44"/>
      <c r="AU135" s="44"/>
      <c r="AV135" s="44"/>
      <c r="AW135" s="44"/>
      <c r="AX135" s="44"/>
      <c r="AY135" s="44"/>
      <c r="AZ135" s="44"/>
      <c r="BA135" s="44"/>
      <c r="BB135" s="44"/>
      <c r="BC135" s="44"/>
      <c r="BD135" s="44"/>
      <c r="BE135" s="44"/>
      <c r="BF135" s="44"/>
      <c r="BG135" s="44"/>
      <c r="BH135" s="44"/>
      <c r="BI135" s="44"/>
      <c r="BJ135" s="44"/>
      <c r="BK135" s="44"/>
    </row>
    <row r="136" spans="2:63" x14ac:dyDescent="0.25">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c r="BE136" s="44"/>
      <c r="BF136" s="44"/>
      <c r="BG136" s="44"/>
      <c r="BH136" s="44"/>
      <c r="BI136" s="44"/>
      <c r="BJ136" s="44"/>
      <c r="BK136" s="44"/>
    </row>
    <row r="137" spans="2:63" x14ac:dyDescent="0.25">
      <c r="B137" s="44"/>
      <c r="C137" s="44"/>
      <c r="D137" s="44"/>
      <c r="E137" s="44"/>
      <c r="F137" s="44"/>
      <c r="G137" s="44"/>
      <c r="H137" s="44"/>
      <c r="I137" s="44"/>
    </row>
    <row r="138" spans="2:63" x14ac:dyDescent="0.25">
      <c r="B138" s="44"/>
      <c r="C138" s="44"/>
      <c r="D138" s="44"/>
      <c r="E138" s="44"/>
      <c r="F138" s="44"/>
      <c r="G138" s="44"/>
      <c r="H138" s="44"/>
      <c r="I138" s="44"/>
    </row>
    <row r="139" spans="2:63" x14ac:dyDescent="0.25">
      <c r="B139" s="44"/>
      <c r="C139" s="44"/>
      <c r="D139" s="44"/>
      <c r="E139" s="44"/>
      <c r="F139" s="44"/>
      <c r="G139" s="44"/>
      <c r="H139" s="44"/>
      <c r="I139" s="44"/>
    </row>
    <row r="140" spans="2:63" x14ac:dyDescent="0.25">
      <c r="B140" s="44"/>
      <c r="C140" s="44"/>
      <c r="D140" s="44"/>
      <c r="E140" s="44"/>
      <c r="F140" s="44"/>
      <c r="G140" s="44"/>
      <c r="H140" s="44"/>
      <c r="I140" s="44"/>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3"/>
  <sheetViews>
    <sheetView zoomScaleNormal="100" workbookViewId="0">
      <selection activeCell="L22" sqref="L22"/>
    </sheetView>
  </sheetViews>
  <sheetFormatPr baseColWidth="10" defaultRowHeight="15" x14ac:dyDescent="0.25"/>
  <cols>
    <col min="1" max="1" width="4.28515625" customWidth="1"/>
    <col min="3" max="3" width="16.140625" customWidth="1"/>
    <col min="4" max="4" width="14.140625" customWidth="1"/>
    <col min="5" max="5" width="14.42578125" customWidth="1"/>
    <col min="6" max="6" width="15.140625" customWidth="1"/>
    <col min="7" max="7" width="16.85546875" customWidth="1"/>
    <col min="8" max="8" width="8.5703125" customWidth="1"/>
    <col min="9" max="9" width="14.28515625" customWidth="1"/>
    <col min="10" max="10" width="13.28515625" customWidth="1"/>
    <col min="11" max="11" width="20.28515625" customWidth="1"/>
    <col min="12" max="12" width="13.5703125" customWidth="1"/>
    <col min="13" max="13" width="26.42578125" customWidth="1"/>
  </cols>
  <sheetData>
    <row r="2" spans="1:13" ht="15.75" x14ac:dyDescent="0.25">
      <c r="B2" s="301" t="s">
        <v>276</v>
      </c>
      <c r="C2" s="301"/>
      <c r="D2" s="301"/>
      <c r="E2" s="301"/>
      <c r="F2" s="301"/>
      <c r="G2" s="301"/>
    </row>
    <row r="4" spans="1:13" ht="40.5" customHeight="1" x14ac:dyDescent="0.25">
      <c r="A4" s="302" t="s">
        <v>277</v>
      </c>
      <c r="B4" s="138" t="s">
        <v>278</v>
      </c>
      <c r="C4" s="139"/>
      <c r="D4" s="139"/>
      <c r="E4" s="143"/>
      <c r="F4" s="143"/>
      <c r="G4" s="140"/>
      <c r="I4" s="141" t="s">
        <v>279</v>
      </c>
    </row>
    <row r="5" spans="1:13" ht="40.5" customHeight="1" x14ac:dyDescent="0.25">
      <c r="A5" s="302"/>
      <c r="B5" s="138" t="s">
        <v>280</v>
      </c>
      <c r="C5" s="142"/>
      <c r="D5" s="142"/>
      <c r="E5" s="143"/>
      <c r="F5" s="139"/>
      <c r="G5" s="144"/>
      <c r="I5" s="145" t="s">
        <v>281</v>
      </c>
    </row>
    <row r="6" spans="1:13" ht="40.5" customHeight="1" x14ac:dyDescent="0.25">
      <c r="A6" s="302"/>
      <c r="B6" s="138" t="s">
        <v>282</v>
      </c>
      <c r="C6" s="142"/>
      <c r="D6" s="146"/>
      <c r="E6" s="142"/>
      <c r="F6" s="143" t="s">
        <v>333</v>
      </c>
      <c r="G6" s="144"/>
      <c r="I6" s="147" t="s">
        <v>283</v>
      </c>
    </row>
    <row r="7" spans="1:13" ht="40.5" customHeight="1" x14ac:dyDescent="0.25">
      <c r="A7" s="302"/>
      <c r="B7" s="138" t="s">
        <v>284</v>
      </c>
      <c r="C7" s="148"/>
      <c r="D7" s="149"/>
      <c r="E7" s="142"/>
      <c r="F7" s="143" t="s">
        <v>332</v>
      </c>
      <c r="G7" s="144"/>
      <c r="I7" s="150" t="s">
        <v>285</v>
      </c>
    </row>
    <row r="8" spans="1:13" ht="44.25" customHeight="1" x14ac:dyDescent="0.25">
      <c r="A8" s="302"/>
      <c r="B8" s="138" t="s">
        <v>286</v>
      </c>
      <c r="C8" s="148"/>
      <c r="D8" s="148"/>
      <c r="E8" s="142">
        <v>2</v>
      </c>
      <c r="F8" s="139"/>
      <c r="G8" s="144"/>
    </row>
    <row r="9" spans="1:13" x14ac:dyDescent="0.25">
      <c r="A9" s="302"/>
      <c r="B9" s="151"/>
      <c r="C9" s="152" t="s">
        <v>287</v>
      </c>
      <c r="D9" s="152" t="s">
        <v>288</v>
      </c>
      <c r="E9" s="152" t="s">
        <v>289</v>
      </c>
      <c r="F9" s="152" t="s">
        <v>290</v>
      </c>
      <c r="G9" s="152" t="s">
        <v>291</v>
      </c>
      <c r="L9" t="s">
        <v>292</v>
      </c>
    </row>
    <row r="10" spans="1:13" ht="21" customHeight="1" x14ac:dyDescent="0.25"/>
    <row r="11" spans="1:13" x14ac:dyDescent="0.25">
      <c r="J11" s="153" t="s">
        <v>293</v>
      </c>
      <c r="K11" s="153" t="s">
        <v>294</v>
      </c>
      <c r="L11" s="153" t="s">
        <v>276</v>
      </c>
      <c r="M11" s="153" t="s">
        <v>295</v>
      </c>
    </row>
    <row r="12" spans="1:13" x14ac:dyDescent="0.25">
      <c r="J12" s="154">
        <v>1</v>
      </c>
      <c r="K12" s="154" t="s">
        <v>296</v>
      </c>
      <c r="L12" s="154" t="s">
        <v>80</v>
      </c>
      <c r="M12" s="157" t="s">
        <v>80</v>
      </c>
    </row>
    <row r="13" spans="1:13" x14ac:dyDescent="0.25">
      <c r="J13" s="154">
        <v>2</v>
      </c>
      <c r="K13" s="154" t="s">
        <v>52</v>
      </c>
      <c r="L13" s="154" t="s">
        <v>7</v>
      </c>
      <c r="M13" s="155" t="s">
        <v>79</v>
      </c>
    </row>
    <row r="14" spans="1:13" x14ac:dyDescent="0.25">
      <c r="J14" s="154">
        <v>3</v>
      </c>
      <c r="K14" s="154" t="s">
        <v>52</v>
      </c>
      <c r="L14" s="154" t="s">
        <v>7</v>
      </c>
      <c r="M14" s="155" t="s">
        <v>79</v>
      </c>
    </row>
    <row r="15" spans="1:13" x14ac:dyDescent="0.25">
      <c r="J15" s="154">
        <v>4</v>
      </c>
      <c r="K15" s="154" t="s">
        <v>52</v>
      </c>
      <c r="L15" s="154" t="s">
        <v>7</v>
      </c>
      <c r="M15" s="155" t="s">
        <v>79</v>
      </c>
    </row>
    <row r="16" spans="1:13" x14ac:dyDescent="0.25">
      <c r="J16" s="154">
        <v>5</v>
      </c>
      <c r="K16" s="154" t="s">
        <v>52</v>
      </c>
      <c r="L16" s="154" t="s">
        <v>7</v>
      </c>
      <c r="M16" s="155" t="s">
        <v>79</v>
      </c>
    </row>
    <row r="17" spans="10:13" x14ac:dyDescent="0.25">
      <c r="J17" s="154">
        <v>6</v>
      </c>
      <c r="K17" s="154" t="s">
        <v>52</v>
      </c>
      <c r="L17" s="154" t="s">
        <v>7</v>
      </c>
      <c r="M17" s="155" t="s">
        <v>79</v>
      </c>
    </row>
    <row r="18" spans="10:13" x14ac:dyDescent="0.25">
      <c r="J18" s="154">
        <v>7</v>
      </c>
      <c r="K18" s="154" t="s">
        <v>106</v>
      </c>
      <c r="L18" s="154" t="s">
        <v>7</v>
      </c>
      <c r="M18" s="155" t="s">
        <v>79</v>
      </c>
    </row>
    <row r="19" spans="10:13" x14ac:dyDescent="0.25">
      <c r="J19" s="154">
        <v>8</v>
      </c>
      <c r="K19" s="154" t="s">
        <v>106</v>
      </c>
      <c r="L19" s="154" t="s">
        <v>7</v>
      </c>
      <c r="M19" s="155" t="s">
        <v>79</v>
      </c>
    </row>
    <row r="20" spans="10:13" x14ac:dyDescent="0.25">
      <c r="J20" s="154">
        <v>9</v>
      </c>
      <c r="K20" s="154" t="s">
        <v>106</v>
      </c>
      <c r="L20" s="154" t="s">
        <v>7</v>
      </c>
      <c r="M20" s="155" t="s">
        <v>79</v>
      </c>
    </row>
    <row r="21" spans="10:13" x14ac:dyDescent="0.25">
      <c r="J21" s="156">
        <v>10</v>
      </c>
      <c r="K21" s="154" t="s">
        <v>106</v>
      </c>
      <c r="L21" s="154" t="s">
        <v>7</v>
      </c>
      <c r="M21" s="155" t="s">
        <v>79</v>
      </c>
    </row>
    <row r="22" spans="10:13" x14ac:dyDescent="0.25">
      <c r="J22" s="154">
        <v>11</v>
      </c>
      <c r="K22" s="154" t="s">
        <v>52</v>
      </c>
      <c r="L22" s="154" t="s">
        <v>7</v>
      </c>
      <c r="M22" s="155" t="s">
        <v>79</v>
      </c>
    </row>
    <row r="23" spans="10:13" x14ac:dyDescent="0.25">
      <c r="J23" s="156">
        <v>12</v>
      </c>
      <c r="K23" s="154" t="s">
        <v>52</v>
      </c>
      <c r="L23" s="154" t="s">
        <v>80</v>
      </c>
      <c r="M23" s="157" t="s">
        <v>80</v>
      </c>
    </row>
  </sheetData>
  <mergeCells count="2">
    <mergeCell ref="B2:G2"/>
    <mergeCell ref="A4: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H5" sqref="H5"/>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4"/>
      <c r="B1" s="391" t="s">
        <v>54</v>
      </c>
      <c r="C1" s="391"/>
      <c r="D1" s="391"/>
      <c r="E1" s="44"/>
      <c r="F1" s="44"/>
      <c r="G1" s="44"/>
      <c r="H1" s="44"/>
      <c r="I1" s="44"/>
      <c r="J1" s="44"/>
      <c r="K1" s="44"/>
      <c r="L1" s="44"/>
      <c r="M1" s="44"/>
      <c r="N1" s="44"/>
      <c r="O1" s="44"/>
      <c r="P1" s="44"/>
      <c r="Q1" s="44"/>
      <c r="R1" s="44"/>
      <c r="S1" s="44"/>
      <c r="T1" s="44"/>
      <c r="U1" s="44"/>
      <c r="V1" s="44"/>
      <c r="W1" s="44"/>
      <c r="X1" s="44"/>
      <c r="Y1" s="44"/>
      <c r="Z1" s="44"/>
      <c r="AA1" s="44"/>
      <c r="AB1" s="44"/>
      <c r="AC1" s="44"/>
      <c r="AD1" s="44"/>
      <c r="AE1" s="44"/>
    </row>
    <row r="2" spans="1:37" x14ac:dyDescent="0.25">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row>
    <row r="3" spans="1:37" ht="25.5" x14ac:dyDescent="0.25">
      <c r="A3" s="44"/>
      <c r="B3" s="9"/>
      <c r="C3" s="10" t="s">
        <v>51</v>
      </c>
      <c r="D3" s="10" t="s">
        <v>4</v>
      </c>
      <c r="E3" s="44"/>
      <c r="F3" s="44"/>
      <c r="G3" s="44"/>
      <c r="H3" s="44"/>
      <c r="I3" s="44"/>
      <c r="J3" s="44"/>
      <c r="K3" s="44"/>
      <c r="L3" s="44"/>
      <c r="M3" s="44"/>
      <c r="N3" s="44"/>
      <c r="O3" s="44"/>
      <c r="P3" s="44"/>
      <c r="Q3" s="44"/>
      <c r="R3" s="44"/>
      <c r="S3" s="44"/>
      <c r="T3" s="44"/>
      <c r="U3" s="44"/>
      <c r="V3" s="44"/>
      <c r="W3" s="44"/>
      <c r="X3" s="44"/>
      <c r="Y3" s="44"/>
      <c r="Z3" s="44"/>
      <c r="AA3" s="44"/>
      <c r="AB3" s="44"/>
      <c r="AC3" s="44"/>
      <c r="AD3" s="44"/>
      <c r="AE3" s="44"/>
    </row>
    <row r="4" spans="1:37" ht="51" x14ac:dyDescent="0.25">
      <c r="A4" s="44"/>
      <c r="B4" s="11" t="s">
        <v>50</v>
      </c>
      <c r="C4" s="12" t="s">
        <v>101</v>
      </c>
      <c r="D4" s="13">
        <v>0.2</v>
      </c>
      <c r="E4" s="44"/>
      <c r="F4" s="44"/>
      <c r="G4" s="44"/>
      <c r="H4" s="44"/>
      <c r="I4" s="44"/>
      <c r="J4" s="44"/>
      <c r="K4" s="44"/>
      <c r="L4" s="44"/>
      <c r="M4" s="44"/>
      <c r="N4" s="44"/>
      <c r="O4" s="44"/>
      <c r="P4" s="44"/>
      <c r="Q4" s="44"/>
      <c r="R4" s="44"/>
      <c r="S4" s="44"/>
      <c r="T4" s="44"/>
      <c r="U4" s="44"/>
      <c r="V4" s="44"/>
      <c r="W4" s="44"/>
      <c r="X4" s="44"/>
      <c r="Y4" s="44"/>
      <c r="Z4" s="44"/>
      <c r="AA4" s="44"/>
      <c r="AB4" s="44"/>
      <c r="AC4" s="44"/>
      <c r="AD4" s="44"/>
      <c r="AE4" s="44"/>
    </row>
    <row r="5" spans="1:37" ht="51" x14ac:dyDescent="0.25">
      <c r="A5" s="44"/>
      <c r="B5" s="14" t="s">
        <v>52</v>
      </c>
      <c r="C5" s="15" t="s">
        <v>102</v>
      </c>
      <c r="D5" s="16">
        <v>0.4</v>
      </c>
      <c r="E5" s="44"/>
      <c r="F5" s="44"/>
      <c r="G5" s="44"/>
      <c r="H5" s="44"/>
      <c r="I5" s="44"/>
      <c r="J5" s="44"/>
      <c r="K5" s="44"/>
      <c r="L5" s="44"/>
      <c r="M5" s="44"/>
      <c r="N5" s="44"/>
      <c r="O5" s="44"/>
      <c r="P5" s="44"/>
      <c r="Q5" s="44"/>
      <c r="R5" s="44"/>
      <c r="S5" s="44"/>
      <c r="T5" s="44"/>
      <c r="U5" s="44"/>
      <c r="V5" s="44"/>
      <c r="W5" s="44"/>
      <c r="X5" s="44"/>
      <c r="Y5" s="44"/>
      <c r="Z5" s="44"/>
      <c r="AA5" s="44"/>
      <c r="AB5" s="44"/>
      <c r="AC5" s="44"/>
      <c r="AD5" s="44"/>
      <c r="AE5" s="44"/>
    </row>
    <row r="6" spans="1:37" ht="51" x14ac:dyDescent="0.25">
      <c r="A6" s="44"/>
      <c r="B6" s="17" t="s">
        <v>106</v>
      </c>
      <c r="C6" s="15" t="s">
        <v>103</v>
      </c>
      <c r="D6" s="16">
        <v>0.6</v>
      </c>
      <c r="E6" s="44"/>
      <c r="F6" s="44"/>
      <c r="G6" s="44"/>
      <c r="H6" s="44"/>
      <c r="I6" s="44"/>
      <c r="J6" s="44"/>
      <c r="K6" s="44"/>
      <c r="L6" s="44"/>
      <c r="M6" s="44"/>
      <c r="N6" s="44"/>
      <c r="O6" s="44"/>
      <c r="P6" s="44"/>
      <c r="Q6" s="44"/>
      <c r="R6" s="44"/>
      <c r="S6" s="44"/>
      <c r="T6" s="44"/>
      <c r="U6" s="44"/>
      <c r="V6" s="44"/>
      <c r="W6" s="44"/>
      <c r="X6" s="44"/>
      <c r="Y6" s="44"/>
      <c r="Z6" s="44"/>
      <c r="AA6" s="44"/>
      <c r="AB6" s="44"/>
      <c r="AC6" s="44"/>
      <c r="AD6" s="44"/>
      <c r="AE6" s="44"/>
    </row>
    <row r="7" spans="1:37" ht="76.5" x14ac:dyDescent="0.25">
      <c r="A7" s="44"/>
      <c r="B7" s="18" t="s">
        <v>6</v>
      </c>
      <c r="C7" s="15" t="s">
        <v>104</v>
      </c>
      <c r="D7" s="16">
        <v>0.8</v>
      </c>
      <c r="E7" s="44"/>
      <c r="F7" s="44"/>
      <c r="G7" s="44"/>
      <c r="H7" s="44"/>
      <c r="I7" s="44"/>
      <c r="J7" s="44"/>
      <c r="K7" s="44"/>
      <c r="L7" s="44"/>
      <c r="M7" s="44"/>
      <c r="N7" s="44"/>
      <c r="O7" s="44"/>
      <c r="P7" s="44"/>
      <c r="Q7" s="44"/>
      <c r="R7" s="44"/>
      <c r="S7" s="44"/>
      <c r="T7" s="44"/>
      <c r="U7" s="44"/>
      <c r="V7" s="44"/>
      <c r="W7" s="44"/>
      <c r="X7" s="44"/>
      <c r="Y7" s="44"/>
      <c r="Z7" s="44"/>
      <c r="AA7" s="44"/>
      <c r="AB7" s="44"/>
      <c r="AC7" s="44"/>
      <c r="AD7" s="44"/>
      <c r="AE7" s="44"/>
    </row>
    <row r="8" spans="1:37" ht="51" x14ac:dyDescent="0.25">
      <c r="A8" s="44"/>
      <c r="B8" s="19" t="s">
        <v>53</v>
      </c>
      <c r="C8" s="15" t="s">
        <v>105</v>
      </c>
      <c r="D8" s="16">
        <v>1</v>
      </c>
      <c r="E8" s="44"/>
      <c r="F8" s="44"/>
      <c r="G8" s="44"/>
      <c r="H8" s="44"/>
      <c r="I8" s="44"/>
      <c r="J8" s="44"/>
      <c r="K8" s="44"/>
      <c r="L8" s="44"/>
      <c r="M8" s="44"/>
      <c r="N8" s="44"/>
      <c r="O8" s="44"/>
      <c r="P8" s="44"/>
      <c r="Q8" s="44"/>
      <c r="R8" s="44"/>
      <c r="S8" s="44"/>
      <c r="T8" s="44"/>
      <c r="U8" s="44"/>
      <c r="V8" s="44"/>
      <c r="W8" s="44"/>
      <c r="X8" s="44"/>
      <c r="Y8" s="44"/>
      <c r="Z8" s="44"/>
      <c r="AA8" s="44"/>
      <c r="AB8" s="44"/>
      <c r="AC8" s="44"/>
      <c r="AD8" s="44"/>
      <c r="AE8" s="44"/>
    </row>
    <row r="9" spans="1:37" x14ac:dyDescent="0.25">
      <c r="A9" s="44"/>
      <c r="B9" s="68"/>
      <c r="C9" s="68"/>
      <c r="D9" s="68"/>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row>
    <row r="10" spans="1:37" ht="16.5" x14ac:dyDescent="0.25">
      <c r="A10" s="44"/>
      <c r="B10" s="69"/>
      <c r="C10" s="68"/>
      <c r="D10" s="68"/>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row>
    <row r="11" spans="1:37" x14ac:dyDescent="0.25">
      <c r="A11" s="44"/>
      <c r="B11" s="68"/>
      <c r="C11" s="68"/>
      <c r="D11" s="68"/>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row>
    <row r="12" spans="1:37" x14ac:dyDescent="0.25">
      <c r="A12" s="44"/>
      <c r="B12" s="68"/>
      <c r="C12" s="68"/>
      <c r="D12" s="68"/>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row>
    <row r="13" spans="1:37" x14ac:dyDescent="0.25">
      <c r="A13" s="44"/>
      <c r="B13" s="68"/>
      <c r="C13" s="68"/>
      <c r="D13" s="68"/>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row>
    <row r="14" spans="1:37" x14ac:dyDescent="0.25">
      <c r="A14" s="44"/>
      <c r="B14" s="68"/>
      <c r="C14" s="68"/>
      <c r="D14" s="68"/>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row>
    <row r="15" spans="1:37" x14ac:dyDescent="0.25">
      <c r="A15" s="44"/>
      <c r="B15" s="68"/>
      <c r="C15" s="68"/>
      <c r="D15" s="68"/>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row>
    <row r="16" spans="1:37" x14ac:dyDescent="0.25">
      <c r="A16" s="44"/>
      <c r="B16" s="68"/>
      <c r="C16" s="68"/>
      <c r="D16" s="68"/>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row>
    <row r="17" spans="1:37" x14ac:dyDescent="0.25">
      <c r="A17" s="44"/>
      <c r="B17" s="68"/>
      <c r="C17" s="68"/>
      <c r="D17" s="68"/>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37" x14ac:dyDescent="0.25">
      <c r="A18" s="44"/>
      <c r="B18" s="68"/>
      <c r="C18" s="68"/>
      <c r="D18" s="68"/>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row>
    <row r="19" spans="1:37" x14ac:dyDescent="0.25">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row>
    <row r="20" spans="1:37" x14ac:dyDescent="0.25">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row>
    <row r="21" spans="1:37" x14ac:dyDescent="0.25">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row>
    <row r="22" spans="1:37" x14ac:dyDescent="0.25">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row>
    <row r="23" spans="1:37" x14ac:dyDescent="0.25">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row>
    <row r="24" spans="1:37" x14ac:dyDescent="0.25">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row>
    <row r="25" spans="1:37" x14ac:dyDescent="0.25">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row>
    <row r="26" spans="1:37" x14ac:dyDescent="0.25">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row>
    <row r="27" spans="1:37" x14ac:dyDescent="0.25">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row>
    <row r="28" spans="1:37" x14ac:dyDescent="0.25">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row>
    <row r="29" spans="1:37" x14ac:dyDescent="0.25">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row>
    <row r="30" spans="1:37" x14ac:dyDescent="0.25">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row>
    <row r="31" spans="1:37" x14ac:dyDescent="0.25">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row>
    <row r="32" spans="1:37" x14ac:dyDescent="0.25">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row>
    <row r="33" spans="1:31" x14ac:dyDescent="0.25">
      <c r="A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row>
    <row r="34" spans="1:31" x14ac:dyDescent="0.25">
      <c r="A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row>
    <row r="35" spans="1:31" x14ac:dyDescent="0.25">
      <c r="A35" s="44"/>
    </row>
    <row r="36" spans="1:31" x14ac:dyDescent="0.25">
      <c r="A36" s="44"/>
    </row>
    <row r="37" spans="1:31" x14ac:dyDescent="0.25">
      <c r="A37" s="44"/>
    </row>
    <row r="38" spans="1:31" x14ac:dyDescent="0.25">
      <c r="A38" s="44"/>
    </row>
    <row r="39" spans="1:31" x14ac:dyDescent="0.25">
      <c r="A39" s="44"/>
    </row>
    <row r="40" spans="1:31" x14ac:dyDescent="0.25">
      <c r="A40" s="44"/>
    </row>
    <row r="41" spans="1:31" x14ac:dyDescent="0.25">
      <c r="A41" s="44"/>
    </row>
    <row r="42" spans="1:31" x14ac:dyDescent="0.25">
      <c r="A42" s="44"/>
    </row>
    <row r="43" spans="1:31" x14ac:dyDescent="0.25">
      <c r="A43" s="44"/>
    </row>
    <row r="44" spans="1:31" x14ac:dyDescent="0.25">
      <c r="A44" s="44"/>
    </row>
    <row r="45" spans="1:31" x14ac:dyDescent="0.25">
      <c r="A45" s="44"/>
    </row>
    <row r="46" spans="1:31" x14ac:dyDescent="0.25">
      <c r="A46" s="44"/>
    </row>
    <row r="47" spans="1:31" x14ac:dyDescent="0.25">
      <c r="A47" s="44"/>
    </row>
    <row r="48" spans="1:31" x14ac:dyDescent="0.25">
      <c r="A48" s="44"/>
    </row>
    <row r="49" spans="1:1" x14ac:dyDescent="0.25">
      <c r="A49" s="44"/>
    </row>
    <row r="50" spans="1:1" x14ac:dyDescent="0.25">
      <c r="A50" s="44"/>
    </row>
    <row r="51" spans="1:1" x14ac:dyDescent="0.25">
      <c r="A51" s="44"/>
    </row>
    <row r="52" spans="1:1" x14ac:dyDescent="0.25">
      <c r="A52" s="44"/>
    </row>
    <row r="53" spans="1:1" x14ac:dyDescent="0.25">
      <c r="A53" s="44"/>
    </row>
    <row r="54" spans="1:1" x14ac:dyDescent="0.25">
      <c r="A54" s="44"/>
    </row>
    <row r="55" spans="1:1" x14ac:dyDescent="0.25">
      <c r="A55" s="44"/>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44"/>
      <c r="B1" s="392" t="s">
        <v>62</v>
      </c>
      <c r="C1" s="392"/>
      <c r="D1" s="392"/>
      <c r="E1" s="44"/>
      <c r="F1" s="44"/>
      <c r="G1" s="44"/>
      <c r="H1" s="44"/>
      <c r="I1" s="44"/>
      <c r="J1" s="44"/>
      <c r="K1" s="44"/>
      <c r="L1" s="44"/>
      <c r="M1" s="44"/>
      <c r="N1" s="44"/>
      <c r="O1" s="44"/>
      <c r="P1" s="44"/>
      <c r="Q1" s="44"/>
      <c r="R1" s="44"/>
      <c r="S1" s="44"/>
      <c r="T1" s="44"/>
      <c r="U1" s="44"/>
    </row>
    <row r="2" spans="1:21" x14ac:dyDescent="0.25">
      <c r="A2" s="44"/>
      <c r="B2" s="44"/>
      <c r="C2" s="44"/>
      <c r="D2" s="44"/>
      <c r="E2" s="44"/>
      <c r="F2" s="44"/>
      <c r="G2" s="44"/>
      <c r="H2" s="44"/>
      <c r="I2" s="44"/>
      <c r="J2" s="44"/>
      <c r="K2" s="44"/>
      <c r="L2" s="44"/>
      <c r="M2" s="44"/>
      <c r="N2" s="44"/>
      <c r="O2" s="44"/>
      <c r="P2" s="44"/>
      <c r="Q2" s="44"/>
      <c r="R2" s="44"/>
      <c r="S2" s="44"/>
      <c r="T2" s="44"/>
      <c r="U2" s="44"/>
    </row>
    <row r="3" spans="1:21" ht="30" x14ac:dyDescent="0.25">
      <c r="A3" s="44"/>
      <c r="B3" s="65"/>
      <c r="C3" s="34" t="s">
        <v>55</v>
      </c>
      <c r="D3" s="34" t="s">
        <v>56</v>
      </c>
      <c r="E3" s="44"/>
      <c r="F3" s="44"/>
      <c r="G3" s="44"/>
      <c r="H3" s="44"/>
      <c r="I3" s="44"/>
      <c r="J3" s="44"/>
      <c r="K3" s="44"/>
      <c r="L3" s="44"/>
      <c r="M3" s="44"/>
      <c r="N3" s="44"/>
      <c r="O3" s="44"/>
      <c r="P3" s="44"/>
      <c r="Q3" s="44"/>
      <c r="R3" s="44"/>
      <c r="S3" s="44"/>
      <c r="T3" s="44"/>
      <c r="U3" s="44"/>
    </row>
    <row r="4" spans="1:21" ht="33.75" x14ac:dyDescent="0.25">
      <c r="A4" s="64" t="s">
        <v>82</v>
      </c>
      <c r="B4" s="37" t="s">
        <v>100</v>
      </c>
      <c r="C4" s="42" t="s">
        <v>156</v>
      </c>
      <c r="D4" s="35" t="s">
        <v>96</v>
      </c>
      <c r="E4" s="44"/>
      <c r="F4" s="44"/>
      <c r="G4" s="44"/>
      <c r="H4" s="44"/>
      <c r="I4" s="44"/>
      <c r="J4" s="44"/>
      <c r="K4" s="44"/>
      <c r="L4" s="44"/>
      <c r="M4" s="44"/>
      <c r="N4" s="44"/>
      <c r="O4" s="44"/>
      <c r="P4" s="44"/>
      <c r="Q4" s="44"/>
      <c r="R4" s="44"/>
      <c r="S4" s="44"/>
      <c r="T4" s="44"/>
      <c r="U4" s="44"/>
    </row>
    <row r="5" spans="1:21" ht="67.5" x14ac:dyDescent="0.25">
      <c r="A5" s="64" t="s">
        <v>83</v>
      </c>
      <c r="B5" s="38" t="s">
        <v>58</v>
      </c>
      <c r="C5" s="43" t="s">
        <v>92</v>
      </c>
      <c r="D5" s="36" t="s">
        <v>212</v>
      </c>
      <c r="E5" s="44"/>
      <c r="F5" s="44"/>
      <c r="G5" s="44"/>
      <c r="H5" s="44"/>
      <c r="I5" s="44"/>
      <c r="J5" s="44"/>
      <c r="K5" s="44"/>
      <c r="L5" s="44"/>
      <c r="M5" s="44"/>
      <c r="N5" s="44"/>
      <c r="O5" s="44"/>
      <c r="P5" s="44"/>
      <c r="Q5" s="44"/>
      <c r="R5" s="44"/>
      <c r="S5" s="44"/>
      <c r="T5" s="44"/>
      <c r="U5" s="44"/>
    </row>
    <row r="6" spans="1:21" ht="67.5" x14ac:dyDescent="0.25">
      <c r="A6" s="64" t="s">
        <v>80</v>
      </c>
      <c r="B6" s="39" t="s">
        <v>59</v>
      </c>
      <c r="C6" s="43" t="s">
        <v>93</v>
      </c>
      <c r="D6" s="36" t="s">
        <v>99</v>
      </c>
      <c r="E6" s="44"/>
      <c r="F6" s="44"/>
      <c r="G6" s="44"/>
      <c r="H6" s="44"/>
      <c r="I6" s="44"/>
      <c r="J6" s="44"/>
      <c r="K6" s="44"/>
      <c r="L6" s="44"/>
      <c r="M6" s="44"/>
      <c r="N6" s="44"/>
      <c r="O6" s="44"/>
      <c r="P6" s="44"/>
      <c r="Q6" s="44"/>
      <c r="R6" s="44"/>
      <c r="S6" s="44"/>
      <c r="T6" s="44"/>
      <c r="U6" s="44"/>
    </row>
    <row r="7" spans="1:21" ht="101.25" x14ac:dyDescent="0.25">
      <c r="A7" s="64" t="s">
        <v>7</v>
      </c>
      <c r="B7" s="40" t="s">
        <v>60</v>
      </c>
      <c r="C7" s="43" t="s">
        <v>94</v>
      </c>
      <c r="D7" s="36" t="s">
        <v>98</v>
      </c>
      <c r="E7" s="44"/>
      <c r="F7" s="44"/>
      <c r="G7" s="44"/>
      <c r="H7" s="44"/>
      <c r="I7" s="44"/>
      <c r="J7" s="44"/>
      <c r="K7" s="44"/>
      <c r="L7" s="44"/>
      <c r="M7" s="44"/>
      <c r="N7" s="44"/>
      <c r="O7" s="44"/>
      <c r="P7" s="44"/>
      <c r="Q7" s="44"/>
      <c r="R7" s="44"/>
      <c r="S7" s="44"/>
      <c r="T7" s="44"/>
      <c r="U7" s="44"/>
    </row>
    <row r="8" spans="1:21" ht="67.5" x14ac:dyDescent="0.25">
      <c r="A8" s="64" t="s">
        <v>84</v>
      </c>
      <c r="B8" s="41" t="s">
        <v>61</v>
      </c>
      <c r="C8" s="43" t="s">
        <v>95</v>
      </c>
      <c r="D8" s="36" t="s">
        <v>117</v>
      </c>
      <c r="E8" s="44"/>
      <c r="F8" s="44"/>
      <c r="G8" s="44"/>
      <c r="H8" s="44"/>
      <c r="I8" s="44"/>
      <c r="J8" s="44"/>
      <c r="K8" s="44"/>
      <c r="L8" s="44"/>
      <c r="M8" s="44"/>
      <c r="N8" s="44"/>
      <c r="O8" s="44"/>
      <c r="P8" s="44"/>
      <c r="Q8" s="44"/>
      <c r="R8" s="44"/>
      <c r="S8" s="44"/>
      <c r="T8" s="44"/>
      <c r="U8" s="44"/>
    </row>
    <row r="9" spans="1:21" ht="20.25" x14ac:dyDescent="0.25">
      <c r="A9" s="64"/>
      <c r="B9" s="64"/>
      <c r="C9" s="66"/>
      <c r="D9" s="66"/>
      <c r="E9" s="44"/>
      <c r="F9" s="44"/>
      <c r="G9" s="44"/>
      <c r="H9" s="44"/>
      <c r="I9" s="44"/>
      <c r="J9" s="44"/>
      <c r="K9" s="44"/>
      <c r="L9" s="44"/>
      <c r="M9" s="44"/>
      <c r="N9" s="44"/>
      <c r="O9" s="44"/>
      <c r="P9" s="44"/>
      <c r="Q9" s="44"/>
      <c r="R9" s="44"/>
      <c r="S9" s="44"/>
      <c r="T9" s="44"/>
      <c r="U9" s="44"/>
    </row>
    <row r="10" spans="1:21" ht="16.5" x14ac:dyDescent="0.25">
      <c r="A10" s="64"/>
      <c r="B10" s="67"/>
      <c r="C10" s="67"/>
      <c r="D10" s="67"/>
      <c r="E10" s="44"/>
      <c r="F10" s="44"/>
      <c r="G10" s="44"/>
      <c r="H10" s="44"/>
      <c r="I10" s="44"/>
      <c r="J10" s="44"/>
      <c r="K10" s="44"/>
      <c r="L10" s="44"/>
      <c r="M10" s="44"/>
      <c r="N10" s="44"/>
      <c r="O10" s="44"/>
      <c r="P10" s="44"/>
      <c r="Q10" s="44"/>
      <c r="R10" s="44"/>
      <c r="S10" s="44"/>
      <c r="T10" s="44"/>
      <c r="U10" s="44"/>
    </row>
    <row r="11" spans="1:21" x14ac:dyDescent="0.25">
      <c r="A11" s="64"/>
      <c r="B11" s="64" t="s">
        <v>90</v>
      </c>
      <c r="C11" s="64" t="s">
        <v>144</v>
      </c>
      <c r="D11" s="64" t="s">
        <v>151</v>
      </c>
      <c r="E11" s="44"/>
      <c r="F11" s="44"/>
      <c r="G11" s="44"/>
      <c r="H11" s="44"/>
      <c r="I11" s="44"/>
      <c r="J11" s="44"/>
      <c r="K11" s="44"/>
      <c r="L11" s="44"/>
      <c r="M11" s="44"/>
      <c r="N11" s="44"/>
      <c r="O11" s="44"/>
      <c r="P11" s="44"/>
      <c r="Q11" s="44"/>
      <c r="R11" s="44"/>
      <c r="S11" s="44"/>
      <c r="T11" s="44"/>
      <c r="U11" s="44"/>
    </row>
    <row r="12" spans="1:21" x14ac:dyDescent="0.25">
      <c r="A12" s="64"/>
      <c r="B12" s="64" t="s">
        <v>88</v>
      </c>
      <c r="C12" s="64" t="s">
        <v>148</v>
      </c>
      <c r="D12" s="64" t="s">
        <v>152</v>
      </c>
      <c r="E12" s="44"/>
      <c r="F12" s="44"/>
      <c r="G12" s="44"/>
      <c r="H12" s="44"/>
      <c r="I12" s="44"/>
      <c r="J12" s="44"/>
      <c r="K12" s="44"/>
      <c r="L12" s="44"/>
      <c r="M12" s="44"/>
      <c r="N12" s="44"/>
      <c r="O12" s="44"/>
      <c r="P12" s="44"/>
      <c r="Q12" s="44"/>
      <c r="R12" s="44"/>
      <c r="S12" s="44"/>
      <c r="T12" s="44"/>
      <c r="U12" s="44"/>
    </row>
    <row r="13" spans="1:21" x14ac:dyDescent="0.25">
      <c r="A13" s="64"/>
      <c r="B13" s="64"/>
      <c r="C13" s="64" t="s">
        <v>147</v>
      </c>
      <c r="D13" s="64" t="s">
        <v>153</v>
      </c>
      <c r="E13" s="44"/>
      <c r="F13" s="44"/>
      <c r="G13" s="44"/>
      <c r="H13" s="44"/>
      <c r="I13" s="44"/>
      <c r="J13" s="44"/>
      <c r="K13" s="44"/>
      <c r="L13" s="44"/>
      <c r="M13" s="44"/>
      <c r="N13" s="44"/>
      <c r="O13" s="44"/>
      <c r="P13" s="44"/>
      <c r="Q13" s="44"/>
      <c r="R13" s="44"/>
      <c r="S13" s="44"/>
      <c r="T13" s="44"/>
      <c r="U13" s="44"/>
    </row>
    <row r="14" spans="1:21" x14ac:dyDescent="0.25">
      <c r="A14" s="64"/>
      <c r="B14" s="64"/>
      <c r="C14" s="64" t="s">
        <v>149</v>
      </c>
      <c r="D14" s="64" t="s">
        <v>154</v>
      </c>
      <c r="E14" s="44"/>
      <c r="F14" s="44"/>
      <c r="G14" s="44"/>
      <c r="H14" s="44"/>
      <c r="I14" s="44"/>
      <c r="J14" s="44"/>
      <c r="K14" s="44"/>
      <c r="L14" s="44"/>
      <c r="M14" s="44"/>
      <c r="N14" s="44"/>
      <c r="O14" s="44"/>
      <c r="P14" s="44"/>
      <c r="Q14" s="44"/>
      <c r="R14" s="44"/>
      <c r="S14" s="44"/>
      <c r="T14" s="44"/>
      <c r="U14" s="44"/>
    </row>
    <row r="15" spans="1:21" x14ac:dyDescent="0.25">
      <c r="A15" s="64"/>
      <c r="B15" s="64"/>
      <c r="C15" s="64" t="s">
        <v>150</v>
      </c>
      <c r="D15" s="64" t="s">
        <v>155</v>
      </c>
      <c r="E15" s="44"/>
      <c r="F15" s="44"/>
      <c r="G15" s="44"/>
      <c r="H15" s="44"/>
      <c r="I15" s="44"/>
      <c r="J15" s="44"/>
      <c r="K15" s="44"/>
      <c r="L15" s="44"/>
      <c r="M15" s="44"/>
      <c r="N15" s="44"/>
      <c r="O15" s="44"/>
      <c r="P15" s="44"/>
      <c r="Q15" s="44"/>
      <c r="R15" s="44"/>
      <c r="S15" s="44"/>
      <c r="T15" s="44"/>
      <c r="U15" s="44"/>
    </row>
    <row r="16" spans="1:21" x14ac:dyDescent="0.25">
      <c r="A16" s="64"/>
      <c r="B16" s="64"/>
      <c r="C16" s="64"/>
      <c r="D16" s="64"/>
      <c r="E16" s="44"/>
      <c r="F16" s="44"/>
      <c r="G16" s="44"/>
      <c r="H16" s="44"/>
      <c r="I16" s="44"/>
      <c r="J16" s="44"/>
      <c r="K16" s="44"/>
      <c r="L16" s="44"/>
      <c r="M16" s="44"/>
      <c r="N16" s="44"/>
      <c r="O16" s="44"/>
    </row>
    <row r="17" spans="1:15" x14ac:dyDescent="0.25">
      <c r="A17" s="64"/>
      <c r="B17" s="64"/>
      <c r="C17" s="64"/>
      <c r="D17" s="64"/>
      <c r="E17" s="44"/>
      <c r="F17" s="44"/>
      <c r="G17" s="44"/>
      <c r="H17" s="44"/>
      <c r="I17" s="44"/>
      <c r="J17" s="44"/>
      <c r="K17" s="44"/>
      <c r="L17" s="44"/>
      <c r="M17" s="44"/>
      <c r="N17" s="44"/>
      <c r="O17" s="44"/>
    </row>
    <row r="18" spans="1:15" x14ac:dyDescent="0.25">
      <c r="A18" s="64"/>
      <c r="B18" s="68"/>
      <c r="C18" s="68"/>
      <c r="D18" s="68"/>
      <c r="E18" s="44"/>
      <c r="F18" s="44"/>
      <c r="G18" s="44"/>
      <c r="H18" s="44"/>
      <c r="I18" s="44"/>
      <c r="J18" s="44"/>
      <c r="K18" s="44"/>
      <c r="L18" s="44"/>
      <c r="M18" s="44"/>
      <c r="N18" s="44"/>
      <c r="O18" s="44"/>
    </row>
    <row r="19" spans="1:15" x14ac:dyDescent="0.25">
      <c r="A19" s="64"/>
      <c r="B19" s="68"/>
      <c r="C19" s="68"/>
      <c r="D19" s="68"/>
      <c r="E19" s="44"/>
      <c r="F19" s="44"/>
      <c r="G19" s="44"/>
      <c r="H19" s="44"/>
      <c r="I19" s="44"/>
      <c r="J19" s="44"/>
      <c r="K19" s="44"/>
      <c r="L19" s="44"/>
      <c r="M19" s="44"/>
      <c r="N19" s="44"/>
      <c r="O19" s="44"/>
    </row>
    <row r="20" spans="1:15" x14ac:dyDescent="0.25">
      <c r="A20" s="64"/>
      <c r="B20" s="68"/>
      <c r="C20" s="68"/>
      <c r="D20" s="68"/>
      <c r="E20" s="44"/>
      <c r="F20" s="44"/>
      <c r="G20" s="44"/>
      <c r="H20" s="44"/>
      <c r="I20" s="44"/>
      <c r="J20" s="44"/>
      <c r="K20" s="44"/>
      <c r="L20" s="44"/>
      <c r="M20" s="44"/>
      <c r="N20" s="44"/>
      <c r="O20" s="44"/>
    </row>
    <row r="21" spans="1:15" x14ac:dyDescent="0.25">
      <c r="A21" s="64"/>
      <c r="B21" s="68"/>
      <c r="C21" s="68"/>
      <c r="D21" s="68"/>
      <c r="E21" s="44"/>
      <c r="F21" s="44"/>
      <c r="G21" s="44"/>
      <c r="H21" s="44"/>
      <c r="I21" s="44"/>
      <c r="J21" s="44"/>
      <c r="K21" s="44"/>
      <c r="L21" s="44"/>
      <c r="M21" s="44"/>
      <c r="N21" s="44"/>
      <c r="O21" s="44"/>
    </row>
    <row r="22" spans="1:15" ht="20.25" x14ac:dyDescent="0.25">
      <c r="A22" s="64"/>
      <c r="B22" s="64"/>
      <c r="C22" s="66"/>
      <c r="D22" s="66"/>
      <c r="E22" s="44"/>
      <c r="F22" s="44"/>
      <c r="G22" s="44"/>
      <c r="H22" s="44"/>
      <c r="I22" s="44"/>
      <c r="J22" s="44"/>
      <c r="K22" s="44"/>
      <c r="L22" s="44"/>
      <c r="M22" s="44"/>
      <c r="N22" s="44"/>
      <c r="O22" s="44"/>
    </row>
    <row r="23" spans="1:15" ht="20.25" x14ac:dyDescent="0.25">
      <c r="A23" s="64"/>
      <c r="B23" s="64"/>
      <c r="C23" s="66"/>
      <c r="D23" s="66"/>
      <c r="E23" s="44"/>
      <c r="F23" s="44"/>
      <c r="G23" s="44"/>
      <c r="H23" s="44"/>
      <c r="I23" s="44"/>
      <c r="J23" s="44"/>
      <c r="K23" s="44"/>
      <c r="L23" s="44"/>
      <c r="M23" s="44"/>
      <c r="N23" s="44"/>
      <c r="O23" s="44"/>
    </row>
    <row r="24" spans="1:15" ht="20.25" x14ac:dyDescent="0.25">
      <c r="A24" s="64"/>
      <c r="B24" s="64"/>
      <c r="C24" s="66"/>
      <c r="D24" s="66"/>
      <c r="E24" s="44"/>
      <c r="F24" s="44"/>
      <c r="G24" s="44"/>
      <c r="H24" s="44"/>
      <c r="I24" s="44"/>
      <c r="J24" s="44"/>
      <c r="K24" s="44"/>
      <c r="L24" s="44"/>
      <c r="M24" s="44"/>
      <c r="N24" s="44"/>
      <c r="O24" s="44"/>
    </row>
    <row r="25" spans="1:15" ht="20.25" x14ac:dyDescent="0.25">
      <c r="A25" s="64"/>
      <c r="B25" s="64"/>
      <c r="C25" s="66"/>
      <c r="D25" s="66"/>
      <c r="E25" s="44"/>
      <c r="F25" s="44"/>
      <c r="G25" s="44"/>
      <c r="H25" s="44"/>
      <c r="I25" s="44"/>
      <c r="J25" s="44"/>
      <c r="K25" s="44"/>
      <c r="L25" s="44"/>
      <c r="M25" s="44"/>
      <c r="N25" s="44"/>
      <c r="O25" s="44"/>
    </row>
    <row r="26" spans="1:15" ht="20.25" x14ac:dyDescent="0.25">
      <c r="A26" s="64"/>
      <c r="B26" s="64"/>
      <c r="C26" s="66"/>
      <c r="D26" s="66"/>
      <c r="E26" s="44"/>
      <c r="F26" s="44"/>
      <c r="G26" s="44"/>
      <c r="H26" s="44"/>
      <c r="I26" s="44"/>
      <c r="J26" s="44"/>
      <c r="K26" s="44"/>
      <c r="L26" s="44"/>
      <c r="M26" s="44"/>
      <c r="N26" s="44"/>
      <c r="O26" s="44"/>
    </row>
    <row r="27" spans="1:15" ht="20.25" x14ac:dyDescent="0.25">
      <c r="A27" s="64"/>
      <c r="B27" s="64"/>
      <c r="C27" s="66"/>
      <c r="D27" s="66"/>
      <c r="E27" s="44"/>
      <c r="F27" s="44"/>
      <c r="G27" s="44"/>
      <c r="H27" s="44"/>
      <c r="I27" s="44"/>
      <c r="J27" s="44"/>
      <c r="K27" s="44"/>
      <c r="L27" s="44"/>
      <c r="M27" s="44"/>
      <c r="N27" s="44"/>
      <c r="O27" s="44"/>
    </row>
    <row r="28" spans="1:15" ht="20.25" x14ac:dyDescent="0.25">
      <c r="A28" s="64"/>
      <c r="B28" s="64"/>
      <c r="C28" s="66"/>
      <c r="D28" s="66"/>
      <c r="E28" s="44"/>
      <c r="F28" s="44"/>
      <c r="G28" s="44"/>
      <c r="H28" s="44"/>
      <c r="I28" s="44"/>
      <c r="J28" s="44"/>
      <c r="K28" s="44"/>
      <c r="L28" s="44"/>
      <c r="M28" s="44"/>
      <c r="N28" s="44"/>
      <c r="O28" s="44"/>
    </row>
    <row r="29" spans="1:15" ht="20.25" x14ac:dyDescent="0.25">
      <c r="A29" s="64"/>
      <c r="B29" s="64"/>
      <c r="C29" s="66"/>
      <c r="D29" s="66"/>
      <c r="E29" s="44"/>
      <c r="F29" s="44"/>
      <c r="G29" s="44"/>
      <c r="H29" s="44"/>
      <c r="I29" s="44"/>
      <c r="J29" s="44"/>
      <c r="K29" s="44"/>
      <c r="L29" s="44"/>
      <c r="M29" s="44"/>
      <c r="N29" s="44"/>
      <c r="O29" s="44"/>
    </row>
    <row r="30" spans="1:15" ht="20.25" x14ac:dyDescent="0.25">
      <c r="A30" s="64"/>
      <c r="B30" s="64"/>
      <c r="C30" s="66"/>
      <c r="D30" s="66"/>
      <c r="E30" s="44"/>
      <c r="F30" s="44"/>
      <c r="G30" s="44"/>
      <c r="H30" s="44"/>
      <c r="I30" s="44"/>
      <c r="J30" s="44"/>
      <c r="K30" s="44"/>
      <c r="L30" s="44"/>
      <c r="M30" s="44"/>
      <c r="N30" s="44"/>
      <c r="O30" s="44"/>
    </row>
    <row r="31" spans="1:15" ht="20.25" x14ac:dyDescent="0.25">
      <c r="A31" s="64"/>
      <c r="B31" s="64"/>
      <c r="C31" s="66"/>
      <c r="D31" s="66"/>
      <c r="E31" s="44"/>
      <c r="F31" s="44"/>
      <c r="G31" s="44"/>
      <c r="H31" s="44"/>
      <c r="I31" s="44"/>
      <c r="J31" s="44"/>
      <c r="K31" s="44"/>
      <c r="L31" s="44"/>
      <c r="M31" s="44"/>
      <c r="N31" s="44"/>
      <c r="O31" s="44"/>
    </row>
    <row r="32" spans="1:15" ht="20.25" x14ac:dyDescent="0.25">
      <c r="A32" s="64"/>
      <c r="B32" s="64"/>
      <c r="C32" s="66"/>
      <c r="D32" s="66"/>
      <c r="E32" s="44"/>
      <c r="F32" s="44"/>
      <c r="G32" s="44"/>
      <c r="H32" s="44"/>
      <c r="I32" s="44"/>
      <c r="J32" s="44"/>
      <c r="K32" s="44"/>
      <c r="L32" s="44"/>
      <c r="M32" s="44"/>
      <c r="N32" s="44"/>
      <c r="O32" s="44"/>
    </row>
    <row r="33" spans="1:15" ht="20.25" x14ac:dyDescent="0.25">
      <c r="A33" s="64"/>
      <c r="B33" s="64"/>
      <c r="C33" s="66"/>
      <c r="D33" s="66"/>
      <c r="E33" s="44"/>
      <c r="F33" s="44"/>
      <c r="G33" s="44"/>
      <c r="H33" s="44"/>
      <c r="I33" s="44"/>
      <c r="J33" s="44"/>
      <c r="K33" s="44"/>
      <c r="L33" s="44"/>
      <c r="M33" s="44"/>
      <c r="N33" s="44"/>
      <c r="O33" s="44"/>
    </row>
    <row r="34" spans="1:15" ht="20.25" x14ac:dyDescent="0.25">
      <c r="A34" s="64"/>
      <c r="B34" s="64"/>
      <c r="C34" s="66"/>
      <c r="D34" s="66"/>
      <c r="E34" s="44"/>
      <c r="F34" s="44"/>
      <c r="G34" s="44"/>
      <c r="H34" s="44"/>
      <c r="I34" s="44"/>
      <c r="J34" s="44"/>
      <c r="K34" s="44"/>
      <c r="L34" s="44"/>
      <c r="M34" s="44"/>
      <c r="N34" s="44"/>
      <c r="O34" s="44"/>
    </row>
    <row r="35" spans="1:15" ht="20.25" x14ac:dyDescent="0.25">
      <c r="A35" s="64"/>
      <c r="B35" s="64"/>
      <c r="C35" s="66"/>
      <c r="D35" s="66"/>
      <c r="E35" s="44"/>
      <c r="F35" s="44"/>
      <c r="G35" s="44"/>
      <c r="H35" s="44"/>
      <c r="I35" s="44"/>
      <c r="J35" s="44"/>
      <c r="K35" s="44"/>
      <c r="L35" s="44"/>
      <c r="M35" s="44"/>
      <c r="N35" s="44"/>
      <c r="O35" s="44"/>
    </row>
    <row r="36" spans="1:15" ht="20.25" x14ac:dyDescent="0.25">
      <c r="A36" s="64"/>
      <c r="B36" s="64"/>
      <c r="C36" s="66"/>
      <c r="D36" s="66"/>
      <c r="E36" s="44"/>
      <c r="F36" s="44"/>
      <c r="G36" s="44"/>
      <c r="H36" s="44"/>
      <c r="I36" s="44"/>
      <c r="J36" s="44"/>
      <c r="K36" s="44"/>
      <c r="L36" s="44"/>
      <c r="M36" s="44"/>
      <c r="N36" s="44"/>
      <c r="O36" s="44"/>
    </row>
    <row r="37" spans="1:15" ht="20.25" x14ac:dyDescent="0.25">
      <c r="A37" s="64"/>
      <c r="B37" s="64"/>
      <c r="C37" s="66"/>
      <c r="D37" s="66"/>
      <c r="E37" s="44"/>
      <c r="F37" s="44"/>
      <c r="G37" s="44"/>
      <c r="H37" s="44"/>
      <c r="I37" s="44"/>
      <c r="J37" s="44"/>
      <c r="K37" s="44"/>
      <c r="L37" s="44"/>
      <c r="M37" s="44"/>
      <c r="N37" s="44"/>
      <c r="O37" s="44"/>
    </row>
    <row r="38" spans="1:15" ht="20.25" x14ac:dyDescent="0.25">
      <c r="A38" s="64"/>
      <c r="B38" s="64"/>
      <c r="C38" s="66"/>
      <c r="D38" s="66"/>
      <c r="E38" s="44"/>
      <c r="F38" s="44"/>
      <c r="G38" s="44"/>
      <c r="H38" s="44"/>
      <c r="I38" s="44"/>
      <c r="J38" s="44"/>
      <c r="K38" s="44"/>
      <c r="L38" s="44"/>
      <c r="M38" s="44"/>
      <c r="N38" s="44"/>
      <c r="O38" s="44"/>
    </row>
    <row r="39" spans="1:15" ht="20.25" x14ac:dyDescent="0.25">
      <c r="A39" s="64"/>
      <c r="B39" s="64"/>
      <c r="C39" s="66"/>
      <c r="D39" s="66"/>
      <c r="E39" s="44"/>
      <c r="F39" s="44"/>
      <c r="G39" s="44"/>
      <c r="H39" s="44"/>
      <c r="I39" s="44"/>
      <c r="J39" s="44"/>
      <c r="K39" s="44"/>
      <c r="L39" s="44"/>
      <c r="M39" s="44"/>
      <c r="N39" s="44"/>
      <c r="O39" s="44"/>
    </row>
    <row r="40" spans="1:15" ht="20.25" x14ac:dyDescent="0.25">
      <c r="A40" s="64"/>
      <c r="B40" s="64"/>
      <c r="C40" s="66"/>
      <c r="D40" s="66"/>
      <c r="E40" s="44"/>
      <c r="F40" s="44"/>
      <c r="G40" s="44"/>
      <c r="H40" s="44"/>
      <c r="I40" s="44"/>
      <c r="J40" s="44"/>
      <c r="K40" s="44"/>
      <c r="L40" s="44"/>
      <c r="M40" s="44"/>
      <c r="N40" s="44"/>
      <c r="O40" s="44"/>
    </row>
    <row r="41" spans="1:15" ht="20.25" x14ac:dyDescent="0.25">
      <c r="A41" s="64"/>
      <c r="B41" s="64"/>
      <c r="C41" s="66"/>
      <c r="D41" s="66"/>
      <c r="E41" s="44"/>
      <c r="F41" s="44"/>
      <c r="G41" s="44"/>
      <c r="H41" s="44"/>
      <c r="I41" s="44"/>
      <c r="J41" s="44"/>
      <c r="K41" s="44"/>
      <c r="L41" s="44"/>
      <c r="M41" s="44"/>
      <c r="N41" s="44"/>
      <c r="O41" s="44"/>
    </row>
    <row r="42" spans="1:15" ht="20.25" x14ac:dyDescent="0.25">
      <c r="A42" s="64"/>
      <c r="B42" s="64"/>
      <c r="C42" s="66"/>
      <c r="D42" s="66"/>
      <c r="E42" s="44"/>
      <c r="F42" s="44"/>
      <c r="G42" s="44"/>
      <c r="H42" s="44"/>
      <c r="I42" s="44"/>
      <c r="J42" s="44"/>
      <c r="K42" s="44"/>
      <c r="L42" s="44"/>
      <c r="M42" s="44"/>
      <c r="N42" s="44"/>
      <c r="O42" s="44"/>
    </row>
    <row r="43" spans="1:15" ht="20.25" x14ac:dyDescent="0.25">
      <c r="A43" s="64"/>
      <c r="B43" s="64"/>
      <c r="C43" s="66"/>
      <c r="D43" s="66"/>
      <c r="E43" s="44"/>
      <c r="F43" s="44"/>
      <c r="G43" s="44"/>
      <c r="H43" s="44"/>
      <c r="I43" s="44"/>
      <c r="J43" s="44"/>
      <c r="K43" s="44"/>
      <c r="L43" s="44"/>
      <c r="M43" s="44"/>
      <c r="N43" s="44"/>
      <c r="O43" s="44"/>
    </row>
    <row r="44" spans="1:15" ht="20.25" x14ac:dyDescent="0.25">
      <c r="A44" s="64"/>
      <c r="B44" s="64"/>
      <c r="C44" s="66"/>
      <c r="D44" s="66"/>
      <c r="E44" s="44"/>
      <c r="F44" s="44"/>
      <c r="G44" s="44"/>
      <c r="H44" s="44"/>
      <c r="I44" s="44"/>
      <c r="J44" s="44"/>
      <c r="K44" s="44"/>
      <c r="L44" s="44"/>
      <c r="M44" s="44"/>
      <c r="N44" s="44"/>
      <c r="O44" s="44"/>
    </row>
    <row r="45" spans="1:15" ht="20.25" x14ac:dyDescent="0.25">
      <c r="A45" s="64"/>
      <c r="B45" s="64"/>
      <c r="C45" s="66"/>
      <c r="D45" s="66"/>
      <c r="E45" s="44"/>
      <c r="F45" s="44"/>
      <c r="G45" s="44"/>
      <c r="H45" s="44"/>
      <c r="I45" s="44"/>
      <c r="J45" s="44"/>
      <c r="K45" s="44"/>
      <c r="L45" s="44"/>
      <c r="M45" s="44"/>
      <c r="N45" s="44"/>
      <c r="O45" s="44"/>
    </row>
    <row r="46" spans="1:15" ht="20.25" x14ac:dyDescent="0.25">
      <c r="A46" s="64"/>
      <c r="B46" s="64"/>
      <c r="C46" s="66"/>
      <c r="D46" s="66"/>
      <c r="E46" s="44"/>
      <c r="F46" s="44"/>
      <c r="G46" s="44"/>
      <c r="H46" s="44"/>
      <c r="I46" s="44"/>
      <c r="J46" s="44"/>
      <c r="K46" s="44"/>
      <c r="L46" s="44"/>
      <c r="M46" s="44"/>
      <c r="N46" s="44"/>
      <c r="O46" s="44"/>
    </row>
    <row r="47" spans="1:15" ht="20.25" x14ac:dyDescent="0.25">
      <c r="A47" s="64"/>
      <c r="B47" s="64"/>
      <c r="C47" s="66"/>
      <c r="D47" s="66"/>
      <c r="E47" s="44"/>
      <c r="F47" s="44"/>
      <c r="G47" s="44"/>
      <c r="H47" s="44"/>
      <c r="I47" s="44"/>
      <c r="J47" s="44"/>
      <c r="K47" s="44"/>
      <c r="L47" s="44"/>
      <c r="M47" s="44"/>
      <c r="N47" s="44"/>
      <c r="O47" s="44"/>
    </row>
    <row r="48" spans="1:15" ht="20.25" x14ac:dyDescent="0.25">
      <c r="A48" s="64"/>
      <c r="B48" s="64"/>
      <c r="C48" s="66"/>
      <c r="D48" s="66"/>
      <c r="E48" s="44"/>
      <c r="F48" s="44"/>
      <c r="G48" s="44"/>
      <c r="H48" s="44"/>
      <c r="I48" s="44"/>
      <c r="J48" s="44"/>
      <c r="K48" s="44"/>
      <c r="L48" s="44"/>
      <c r="M48" s="44"/>
      <c r="N48" s="44"/>
      <c r="O48" s="44"/>
    </row>
    <row r="49" spans="1:15" ht="20.25" x14ac:dyDescent="0.25">
      <c r="A49" s="64"/>
      <c r="B49" s="64"/>
      <c r="C49" s="66"/>
      <c r="D49" s="66"/>
      <c r="E49" s="44"/>
      <c r="F49" s="44"/>
      <c r="G49" s="44"/>
      <c r="H49" s="44"/>
      <c r="I49" s="44"/>
      <c r="J49" s="44"/>
      <c r="K49" s="44"/>
      <c r="L49" s="44"/>
      <c r="M49" s="44"/>
      <c r="N49" s="44"/>
      <c r="O49" s="44"/>
    </row>
    <row r="50" spans="1:15" ht="20.25" x14ac:dyDescent="0.25">
      <c r="A50" s="64"/>
      <c r="B50" s="64"/>
      <c r="C50" s="66"/>
      <c r="D50" s="66"/>
      <c r="E50" s="44"/>
      <c r="F50" s="44"/>
      <c r="G50" s="44"/>
      <c r="H50" s="44"/>
      <c r="I50" s="44"/>
      <c r="J50" s="44"/>
      <c r="K50" s="44"/>
      <c r="L50" s="44"/>
      <c r="M50" s="44"/>
      <c r="N50" s="44"/>
      <c r="O50" s="44"/>
    </row>
    <row r="51" spans="1:15" ht="20.25" x14ac:dyDescent="0.25">
      <c r="A51" s="64"/>
      <c r="B51" s="64"/>
      <c r="C51" s="66"/>
      <c r="D51" s="66"/>
      <c r="E51" s="44"/>
      <c r="F51" s="44"/>
      <c r="G51" s="44"/>
      <c r="H51" s="44"/>
      <c r="I51" s="44"/>
      <c r="J51" s="44"/>
      <c r="K51" s="44"/>
      <c r="L51" s="44"/>
      <c r="M51" s="44"/>
      <c r="N51" s="44"/>
      <c r="O51" s="44"/>
    </row>
    <row r="52" spans="1:15" ht="20.25" x14ac:dyDescent="0.25">
      <c r="A52" s="64"/>
      <c r="B52" s="21"/>
      <c r="C52" s="32"/>
      <c r="D52" s="32"/>
    </row>
    <row r="53" spans="1:15" ht="20.25" x14ac:dyDescent="0.25">
      <c r="A53" s="64"/>
      <c r="B53" s="21"/>
      <c r="C53" s="32"/>
      <c r="D53" s="32"/>
    </row>
    <row r="54" spans="1:15" ht="20.25" x14ac:dyDescent="0.25">
      <c r="A54" s="64"/>
      <c r="B54" s="21"/>
      <c r="C54" s="32"/>
      <c r="D54" s="32"/>
    </row>
    <row r="55" spans="1:15" ht="20.25" x14ac:dyDescent="0.25">
      <c r="A55" s="64"/>
      <c r="B55" s="21"/>
      <c r="C55" s="32"/>
      <c r="D55" s="32"/>
    </row>
    <row r="56" spans="1:15" ht="20.25" x14ac:dyDescent="0.25">
      <c r="A56" s="64"/>
      <c r="B56" s="21"/>
      <c r="C56" s="32"/>
      <c r="D56" s="32"/>
    </row>
    <row r="57" spans="1:15" ht="20.25" x14ac:dyDescent="0.25">
      <c r="A57" s="64"/>
      <c r="B57" s="21"/>
      <c r="C57" s="32"/>
      <c r="D57" s="32"/>
    </row>
    <row r="58" spans="1:15" ht="20.25" x14ac:dyDescent="0.25">
      <c r="A58" s="64"/>
      <c r="B58" s="21"/>
      <c r="C58" s="32"/>
      <c r="D58" s="32"/>
    </row>
    <row r="59" spans="1:15" ht="20.25" x14ac:dyDescent="0.25">
      <c r="A59" s="64"/>
      <c r="B59" s="21"/>
      <c r="C59" s="32"/>
      <c r="D59" s="32"/>
    </row>
    <row r="60" spans="1:15" ht="20.25" x14ac:dyDescent="0.25">
      <c r="A60" s="64"/>
      <c r="B60" s="21"/>
      <c r="C60" s="32"/>
      <c r="D60" s="32"/>
    </row>
    <row r="61" spans="1:15" ht="20.25" x14ac:dyDescent="0.25">
      <c r="A61" s="64"/>
      <c r="B61" s="21"/>
      <c r="C61" s="32"/>
      <c r="D61" s="32"/>
    </row>
    <row r="62" spans="1:15" ht="20.25" x14ac:dyDescent="0.25">
      <c r="A62" s="64"/>
      <c r="B62" s="21"/>
      <c r="C62" s="32"/>
      <c r="D62" s="32"/>
    </row>
    <row r="63" spans="1:15" ht="20.25" x14ac:dyDescent="0.25">
      <c r="A63" s="64"/>
      <c r="B63" s="21"/>
      <c r="C63" s="32"/>
      <c r="D63" s="32"/>
    </row>
    <row r="64" spans="1:15" ht="20.25" x14ac:dyDescent="0.25">
      <c r="A64" s="64"/>
      <c r="B64" s="21"/>
      <c r="C64" s="32"/>
      <c r="D64" s="32"/>
    </row>
    <row r="65" spans="1:4" ht="20.25" x14ac:dyDescent="0.25">
      <c r="A65" s="64"/>
      <c r="B65" s="21"/>
      <c r="C65" s="32"/>
      <c r="D65" s="32"/>
    </row>
    <row r="66" spans="1:4" ht="20.25" x14ac:dyDescent="0.25">
      <c r="A66" s="64"/>
      <c r="B66" s="21"/>
      <c r="C66" s="32"/>
      <c r="D66" s="32"/>
    </row>
    <row r="67" spans="1:4" ht="20.25" x14ac:dyDescent="0.25">
      <c r="A67" s="64"/>
      <c r="B67" s="21"/>
      <c r="C67" s="32"/>
      <c r="D67" s="32"/>
    </row>
    <row r="68" spans="1:4" ht="20.25" x14ac:dyDescent="0.25">
      <c r="A68" s="64"/>
      <c r="B68" s="21"/>
      <c r="C68" s="32"/>
      <c r="D68" s="32"/>
    </row>
    <row r="69" spans="1:4" ht="20.25" x14ac:dyDescent="0.25">
      <c r="A69" s="64"/>
      <c r="B69" s="21"/>
      <c r="C69" s="32"/>
      <c r="D69" s="32"/>
    </row>
    <row r="70" spans="1:4" ht="20.25" x14ac:dyDescent="0.25">
      <c r="A70" s="64"/>
      <c r="B70" s="21"/>
      <c r="C70" s="32"/>
      <c r="D70" s="32"/>
    </row>
    <row r="71" spans="1:4" ht="20.25" x14ac:dyDescent="0.25">
      <c r="A71" s="64"/>
      <c r="B71" s="21"/>
      <c r="C71" s="32"/>
      <c r="D71" s="32"/>
    </row>
    <row r="72" spans="1:4" ht="20.25" x14ac:dyDescent="0.25">
      <c r="A72" s="64"/>
      <c r="B72" s="21"/>
      <c r="C72" s="32"/>
      <c r="D72" s="32"/>
    </row>
    <row r="73" spans="1:4" ht="20.25" x14ac:dyDescent="0.25">
      <c r="A73" s="64"/>
      <c r="B73" s="21"/>
      <c r="C73" s="32"/>
      <c r="D73" s="32"/>
    </row>
    <row r="74" spans="1:4" ht="20.25" x14ac:dyDescent="0.25">
      <c r="A74" s="64"/>
      <c r="B74" s="21"/>
      <c r="C74" s="32"/>
      <c r="D74" s="32"/>
    </row>
    <row r="75" spans="1:4" ht="20.25" x14ac:dyDescent="0.25">
      <c r="A75" s="64"/>
      <c r="B75" s="21"/>
      <c r="C75" s="32"/>
      <c r="D75" s="32"/>
    </row>
    <row r="76" spans="1:4" ht="20.25" x14ac:dyDescent="0.25">
      <c r="A76" s="64"/>
      <c r="B76" s="21"/>
      <c r="C76" s="32"/>
      <c r="D76" s="32"/>
    </row>
    <row r="77" spans="1:4" ht="20.25" x14ac:dyDescent="0.25">
      <c r="A77" s="64"/>
      <c r="B77" s="21"/>
      <c r="C77" s="32"/>
      <c r="D77" s="32"/>
    </row>
    <row r="78" spans="1:4" ht="20.25" x14ac:dyDescent="0.25">
      <c r="A78" s="64"/>
      <c r="B78" s="21"/>
      <c r="C78" s="32"/>
      <c r="D78" s="32"/>
    </row>
    <row r="79" spans="1:4" ht="20.25" x14ac:dyDescent="0.25">
      <c r="A79" s="64"/>
      <c r="B79" s="21"/>
      <c r="C79" s="32"/>
      <c r="D79" s="32"/>
    </row>
    <row r="80" spans="1:4" ht="20.25" x14ac:dyDescent="0.25">
      <c r="A80" s="64"/>
      <c r="B80" s="21"/>
      <c r="C80" s="32"/>
      <c r="D80" s="32"/>
    </row>
    <row r="81" spans="1:4" ht="20.25" x14ac:dyDescent="0.25">
      <c r="A81" s="64"/>
      <c r="B81" s="21"/>
      <c r="C81" s="32"/>
      <c r="D81" s="32"/>
    </row>
    <row r="82" spans="1:4" ht="20.25" x14ac:dyDescent="0.25">
      <c r="A82" s="64"/>
      <c r="B82" s="21"/>
      <c r="C82" s="32"/>
      <c r="D82" s="32"/>
    </row>
    <row r="83" spans="1:4" ht="20.25" x14ac:dyDescent="0.25">
      <c r="A83" s="64"/>
      <c r="B83" s="21"/>
      <c r="C83" s="32"/>
      <c r="D83" s="32"/>
    </row>
    <row r="84" spans="1:4" ht="20.25" x14ac:dyDescent="0.25">
      <c r="A84" s="64"/>
      <c r="B84" s="21"/>
      <c r="C84" s="32"/>
      <c r="D84" s="32"/>
    </row>
    <row r="85" spans="1:4" ht="20.25" x14ac:dyDescent="0.25">
      <c r="A85" s="64"/>
      <c r="B85" s="21"/>
      <c r="C85" s="32"/>
      <c r="D85" s="32"/>
    </row>
    <row r="86" spans="1:4" ht="20.25" x14ac:dyDescent="0.25">
      <c r="A86" s="64"/>
      <c r="B86" s="21"/>
      <c r="C86" s="32"/>
      <c r="D86" s="32"/>
    </row>
    <row r="87" spans="1:4" ht="20.25" x14ac:dyDescent="0.25">
      <c r="A87" s="64"/>
      <c r="B87" s="21"/>
      <c r="C87" s="32"/>
      <c r="D87" s="32"/>
    </row>
    <row r="88" spans="1:4" ht="20.25" x14ac:dyDescent="0.25">
      <c r="A88" s="64"/>
      <c r="B88" s="21"/>
      <c r="C88" s="32"/>
      <c r="D88" s="32"/>
    </row>
    <row r="89" spans="1:4" ht="20.25" x14ac:dyDescent="0.25">
      <c r="A89" s="64"/>
      <c r="B89" s="21"/>
      <c r="C89" s="32"/>
      <c r="D89" s="32"/>
    </row>
    <row r="90" spans="1:4" ht="20.25" x14ac:dyDescent="0.25">
      <c r="A90" s="64"/>
      <c r="B90" s="21"/>
      <c r="C90" s="32"/>
      <c r="D90" s="32"/>
    </row>
    <row r="91" spans="1:4" ht="20.25" x14ac:dyDescent="0.25">
      <c r="A91" s="64"/>
      <c r="B91" s="21"/>
      <c r="C91" s="32"/>
      <c r="D91" s="32"/>
    </row>
    <row r="92" spans="1:4" ht="20.25" x14ac:dyDescent="0.25">
      <c r="A92" s="64"/>
      <c r="B92" s="21"/>
      <c r="C92" s="32"/>
      <c r="D92" s="32"/>
    </row>
    <row r="93" spans="1:4" ht="20.25" x14ac:dyDescent="0.25">
      <c r="A93" s="64"/>
      <c r="B93" s="21"/>
      <c r="C93" s="32"/>
      <c r="D93" s="32"/>
    </row>
    <row r="94" spans="1:4" ht="20.25" x14ac:dyDescent="0.25">
      <c r="A94" s="64"/>
      <c r="B94" s="21"/>
      <c r="C94" s="32"/>
      <c r="D94" s="32"/>
    </row>
    <row r="95" spans="1:4" ht="20.25" x14ac:dyDescent="0.25">
      <c r="A95" s="64"/>
      <c r="B95" s="21"/>
      <c r="C95" s="32"/>
      <c r="D95" s="32"/>
    </row>
    <row r="96" spans="1:4" ht="20.25" x14ac:dyDescent="0.25">
      <c r="A96" s="64"/>
      <c r="B96" s="21"/>
      <c r="C96" s="32"/>
      <c r="D96" s="32"/>
    </row>
    <row r="97" spans="1:4" ht="20.25" x14ac:dyDescent="0.25">
      <c r="A97" s="64"/>
      <c r="B97" s="21"/>
      <c r="C97" s="32"/>
      <c r="D97" s="32"/>
    </row>
    <row r="98" spans="1:4" ht="20.25" x14ac:dyDescent="0.25">
      <c r="A98" s="64"/>
      <c r="B98" s="21"/>
      <c r="C98" s="32"/>
      <c r="D98" s="32"/>
    </row>
    <row r="99" spans="1:4" ht="20.25" x14ac:dyDescent="0.25">
      <c r="A99" s="64"/>
      <c r="B99" s="21"/>
      <c r="C99" s="32"/>
      <c r="D99" s="32"/>
    </row>
    <row r="100" spans="1:4" ht="20.25" x14ac:dyDescent="0.25">
      <c r="A100" s="64"/>
      <c r="B100" s="21"/>
      <c r="C100" s="32"/>
      <c r="D100" s="32"/>
    </row>
    <row r="101" spans="1:4" ht="20.25" x14ac:dyDescent="0.25">
      <c r="A101" s="64"/>
      <c r="B101" s="21"/>
      <c r="C101" s="32"/>
      <c r="D101" s="32"/>
    </row>
    <row r="102" spans="1:4" ht="20.25" x14ac:dyDescent="0.25">
      <c r="A102" s="64"/>
      <c r="B102" s="21"/>
      <c r="C102" s="32"/>
      <c r="D102" s="32"/>
    </row>
    <row r="103" spans="1:4" ht="20.25" x14ac:dyDescent="0.25">
      <c r="A103" s="64"/>
      <c r="B103" s="21"/>
      <c r="C103" s="32"/>
      <c r="D103" s="32"/>
    </row>
    <row r="104" spans="1:4" ht="20.25" x14ac:dyDescent="0.25">
      <c r="A104" s="64"/>
      <c r="B104" s="21"/>
      <c r="C104" s="32"/>
      <c r="D104" s="32"/>
    </row>
    <row r="105" spans="1:4" ht="20.25" x14ac:dyDescent="0.25">
      <c r="A105" s="64"/>
      <c r="B105" s="21"/>
      <c r="C105" s="32"/>
      <c r="D105" s="32"/>
    </row>
    <row r="106" spans="1:4" ht="20.25" x14ac:dyDescent="0.25">
      <c r="A106" s="64"/>
      <c r="B106" s="21"/>
      <c r="C106" s="32"/>
      <c r="D106" s="32"/>
    </row>
    <row r="107" spans="1:4" ht="20.25" x14ac:dyDescent="0.25">
      <c r="A107" s="64"/>
      <c r="B107" s="21"/>
      <c r="C107" s="32"/>
      <c r="D107" s="32"/>
    </row>
    <row r="108" spans="1:4" ht="20.25" x14ac:dyDescent="0.25">
      <c r="A108" s="64"/>
      <c r="B108" s="21"/>
      <c r="C108" s="32"/>
      <c r="D108" s="32"/>
    </row>
    <row r="109" spans="1:4" ht="20.25" x14ac:dyDescent="0.25">
      <c r="A109" s="64"/>
      <c r="B109" s="21"/>
      <c r="C109" s="32"/>
      <c r="D109" s="32"/>
    </row>
    <row r="110" spans="1:4" ht="20.25" x14ac:dyDescent="0.25">
      <c r="A110" s="64"/>
      <c r="B110" s="21"/>
      <c r="C110" s="32"/>
      <c r="D110" s="32"/>
    </row>
    <row r="111" spans="1:4" ht="20.25" x14ac:dyDescent="0.25">
      <c r="A111" s="64"/>
      <c r="B111" s="21"/>
      <c r="C111" s="32"/>
      <c r="D111" s="32"/>
    </row>
    <row r="112" spans="1:4" ht="20.25" x14ac:dyDescent="0.25">
      <c r="A112" s="64"/>
      <c r="B112" s="21"/>
      <c r="C112" s="32"/>
      <c r="D112" s="32"/>
    </row>
    <row r="113" spans="1:4" ht="20.25" x14ac:dyDescent="0.25">
      <c r="A113" s="64"/>
      <c r="B113" s="21"/>
      <c r="C113" s="32"/>
      <c r="D113" s="32"/>
    </row>
    <row r="114" spans="1:4" ht="20.25" x14ac:dyDescent="0.25">
      <c r="A114" s="64"/>
      <c r="B114" s="21"/>
      <c r="C114" s="32"/>
      <c r="D114" s="32"/>
    </row>
    <row r="115" spans="1:4" ht="20.25" x14ac:dyDescent="0.25">
      <c r="A115" s="64"/>
      <c r="B115" s="21"/>
      <c r="C115" s="32"/>
      <c r="D115" s="32"/>
    </row>
    <row r="116" spans="1:4" ht="20.25" x14ac:dyDescent="0.25">
      <c r="A116" s="64"/>
      <c r="B116" s="21"/>
      <c r="C116" s="32"/>
      <c r="D116" s="32"/>
    </row>
    <row r="117" spans="1:4" ht="20.25" x14ac:dyDescent="0.25">
      <c r="A117" s="64"/>
      <c r="B117" s="21"/>
      <c r="C117" s="32"/>
      <c r="D117" s="32"/>
    </row>
    <row r="118" spans="1:4" ht="20.25" x14ac:dyDescent="0.25">
      <c r="A118" s="64"/>
      <c r="B118" s="21"/>
      <c r="C118" s="32"/>
      <c r="D118" s="32"/>
    </row>
    <row r="119" spans="1:4" ht="20.25" x14ac:dyDescent="0.25">
      <c r="A119" s="64"/>
      <c r="B119" s="21"/>
      <c r="C119" s="32"/>
      <c r="D119" s="32"/>
    </row>
    <row r="120" spans="1:4" ht="20.25" x14ac:dyDescent="0.25">
      <c r="A120" s="64"/>
      <c r="B120" s="21"/>
      <c r="C120" s="32"/>
      <c r="D120" s="32"/>
    </row>
    <row r="121" spans="1:4" ht="20.25" x14ac:dyDescent="0.25">
      <c r="A121" s="64"/>
      <c r="B121" s="21"/>
      <c r="C121" s="32"/>
      <c r="D121" s="32"/>
    </row>
    <row r="122" spans="1:4" ht="20.25" x14ac:dyDescent="0.25">
      <c r="A122" s="64"/>
      <c r="B122" s="21"/>
      <c r="C122" s="32"/>
      <c r="D122" s="32"/>
    </row>
    <row r="123" spans="1:4" ht="20.25" x14ac:dyDescent="0.25">
      <c r="A123" s="64"/>
      <c r="B123" s="21"/>
      <c r="C123" s="32"/>
      <c r="D123" s="32"/>
    </row>
    <row r="124" spans="1:4" ht="20.25" x14ac:dyDescent="0.25">
      <c r="A124" s="64"/>
      <c r="B124" s="21"/>
      <c r="C124" s="32"/>
      <c r="D124" s="32"/>
    </row>
    <row r="125" spans="1:4" ht="20.25" x14ac:dyDescent="0.25">
      <c r="A125" s="64"/>
      <c r="B125" s="21"/>
      <c r="C125" s="32"/>
      <c r="D125" s="32"/>
    </row>
    <row r="126" spans="1:4" ht="20.25" x14ac:dyDescent="0.25">
      <c r="A126" s="64"/>
      <c r="B126" s="21"/>
      <c r="C126" s="32"/>
      <c r="D126" s="32"/>
    </row>
    <row r="127" spans="1:4" ht="20.25" x14ac:dyDescent="0.25">
      <c r="A127" s="64"/>
      <c r="B127" s="21"/>
      <c r="C127" s="32"/>
      <c r="D127" s="32"/>
    </row>
    <row r="128" spans="1:4" ht="20.25" x14ac:dyDescent="0.25">
      <c r="A128" s="64"/>
      <c r="B128" s="21"/>
      <c r="C128" s="32"/>
      <c r="D128" s="32"/>
    </row>
    <row r="129" spans="1:4" ht="20.25" x14ac:dyDescent="0.25">
      <c r="A129" s="64"/>
      <c r="B129" s="21"/>
      <c r="C129" s="32"/>
      <c r="D129" s="32"/>
    </row>
    <row r="130" spans="1:4" ht="20.25" x14ac:dyDescent="0.25">
      <c r="A130" s="64"/>
      <c r="B130" s="21"/>
      <c r="C130" s="32"/>
      <c r="D130" s="32"/>
    </row>
    <row r="131" spans="1:4" ht="20.25" x14ac:dyDescent="0.25">
      <c r="A131" s="64"/>
      <c r="B131" s="21"/>
      <c r="C131" s="32"/>
      <c r="D131" s="32"/>
    </row>
    <row r="132" spans="1:4" ht="20.25" x14ac:dyDescent="0.25">
      <c r="A132" s="64"/>
      <c r="B132" s="21"/>
      <c r="C132" s="32"/>
      <c r="D132" s="32"/>
    </row>
    <row r="133" spans="1:4" ht="20.25" x14ac:dyDescent="0.25">
      <c r="A133" s="64"/>
      <c r="B133" s="21"/>
      <c r="C133" s="32"/>
      <c r="D133" s="32"/>
    </row>
    <row r="134" spans="1:4" ht="20.25" x14ac:dyDescent="0.25">
      <c r="A134" s="64"/>
      <c r="B134" s="21"/>
      <c r="C134" s="32"/>
      <c r="D134" s="32"/>
    </row>
    <row r="135" spans="1:4" ht="20.25" x14ac:dyDescent="0.25">
      <c r="A135" s="64"/>
      <c r="B135" s="21"/>
      <c r="C135" s="32"/>
      <c r="D135" s="32"/>
    </row>
    <row r="136" spans="1:4" ht="20.25" x14ac:dyDescent="0.25">
      <c r="A136" s="64"/>
      <c r="B136" s="21"/>
      <c r="C136" s="32"/>
      <c r="D136" s="32"/>
    </row>
    <row r="137" spans="1:4" ht="20.25" x14ac:dyDescent="0.25">
      <c r="A137" s="64"/>
      <c r="B137" s="21"/>
      <c r="C137" s="32"/>
      <c r="D137" s="32"/>
    </row>
    <row r="138" spans="1:4" ht="20.25" x14ac:dyDescent="0.25">
      <c r="A138" s="64"/>
      <c r="B138" s="21"/>
      <c r="C138" s="32"/>
      <c r="D138" s="32"/>
    </row>
    <row r="139" spans="1:4" ht="20.25" x14ac:dyDescent="0.25">
      <c r="A139" s="64"/>
      <c r="B139" s="21"/>
      <c r="C139" s="32"/>
      <c r="D139" s="32"/>
    </row>
    <row r="140" spans="1:4" ht="20.25" x14ac:dyDescent="0.25">
      <c r="A140" s="64"/>
      <c r="B140" s="21"/>
      <c r="C140" s="32"/>
      <c r="D140" s="32"/>
    </row>
    <row r="141" spans="1:4" ht="20.25" x14ac:dyDescent="0.25">
      <c r="A141" s="64"/>
      <c r="B141" s="21"/>
      <c r="C141" s="32"/>
      <c r="D141" s="32"/>
    </row>
    <row r="142" spans="1:4" ht="20.25" x14ac:dyDescent="0.25">
      <c r="A142" s="64"/>
      <c r="B142" s="21"/>
      <c r="C142" s="32"/>
      <c r="D142" s="32"/>
    </row>
    <row r="143" spans="1:4" ht="20.25" x14ac:dyDescent="0.25">
      <c r="A143" s="64"/>
      <c r="B143" s="21"/>
      <c r="C143" s="32"/>
      <c r="D143" s="32"/>
    </row>
    <row r="144" spans="1:4" ht="20.25" x14ac:dyDescent="0.25">
      <c r="A144" s="64"/>
      <c r="B144" s="21"/>
      <c r="C144" s="32"/>
      <c r="D144" s="32"/>
    </row>
    <row r="145" spans="1:4" ht="20.25" x14ac:dyDescent="0.25">
      <c r="A145" s="64"/>
      <c r="B145" s="21"/>
      <c r="C145" s="32"/>
      <c r="D145" s="32"/>
    </row>
    <row r="146" spans="1:4" ht="20.25" x14ac:dyDescent="0.25">
      <c r="A146" s="64"/>
      <c r="B146" s="21"/>
      <c r="C146" s="32"/>
      <c r="D146" s="32"/>
    </row>
    <row r="147" spans="1:4" ht="20.25" x14ac:dyDescent="0.25">
      <c r="A147" s="64"/>
      <c r="B147" s="21"/>
      <c r="C147" s="32"/>
      <c r="D147" s="32"/>
    </row>
    <row r="148" spans="1:4" ht="20.25" x14ac:dyDescent="0.25">
      <c r="A148" s="64"/>
      <c r="B148" s="21"/>
      <c r="C148" s="32"/>
      <c r="D148" s="32"/>
    </row>
    <row r="149" spans="1:4" ht="20.25" x14ac:dyDescent="0.25">
      <c r="A149" s="64"/>
      <c r="B149" s="21"/>
      <c r="C149" s="32"/>
      <c r="D149" s="32"/>
    </row>
    <row r="150" spans="1:4" ht="20.25" x14ac:dyDescent="0.25">
      <c r="A150" s="64"/>
      <c r="B150" s="21"/>
      <c r="C150" s="32"/>
      <c r="D150" s="32"/>
    </row>
    <row r="151" spans="1:4" ht="20.25" x14ac:dyDescent="0.25">
      <c r="A151" s="64"/>
      <c r="B151" s="21"/>
      <c r="C151" s="32"/>
      <c r="D151" s="32"/>
    </row>
    <row r="152" spans="1:4" ht="20.25" x14ac:dyDescent="0.25">
      <c r="A152" s="64"/>
      <c r="B152" s="21"/>
      <c r="C152" s="32"/>
      <c r="D152" s="32"/>
    </row>
    <row r="153" spans="1:4" ht="20.25" x14ac:dyDescent="0.25">
      <c r="A153" s="64"/>
      <c r="B153" s="21"/>
      <c r="C153" s="32"/>
      <c r="D153" s="32"/>
    </row>
    <row r="154" spans="1:4" ht="20.25" x14ac:dyDescent="0.25">
      <c r="A154" s="64"/>
      <c r="B154" s="21"/>
      <c r="C154" s="32"/>
      <c r="D154" s="32"/>
    </row>
    <row r="155" spans="1:4" ht="20.25" x14ac:dyDescent="0.25">
      <c r="A155" s="64"/>
      <c r="B155" s="21"/>
      <c r="C155" s="32"/>
      <c r="D155" s="32"/>
    </row>
    <row r="156" spans="1:4" ht="20.25" x14ac:dyDescent="0.25">
      <c r="A156" s="64"/>
      <c r="B156" s="21"/>
      <c r="C156" s="32"/>
      <c r="D156" s="32"/>
    </row>
    <row r="157" spans="1:4" ht="20.25" x14ac:dyDescent="0.25">
      <c r="A157" s="64"/>
      <c r="B157" s="21"/>
      <c r="C157" s="32"/>
      <c r="D157" s="32"/>
    </row>
    <row r="158" spans="1:4" ht="20.25" x14ac:dyDescent="0.25">
      <c r="A158" s="64"/>
      <c r="B158" s="21"/>
      <c r="C158" s="32"/>
      <c r="D158" s="32"/>
    </row>
    <row r="159" spans="1:4" ht="20.25" x14ac:dyDescent="0.25">
      <c r="A159" s="64"/>
      <c r="B159" s="21"/>
      <c r="C159" s="32"/>
      <c r="D159" s="32"/>
    </row>
    <row r="160" spans="1:4" ht="20.25" x14ac:dyDescent="0.25">
      <c r="A160" s="64"/>
      <c r="B160" s="21"/>
      <c r="C160" s="32"/>
      <c r="D160" s="32"/>
    </row>
    <row r="161" spans="1:4" ht="20.25" x14ac:dyDescent="0.25">
      <c r="A161" s="64"/>
      <c r="B161" s="21"/>
      <c r="C161" s="32"/>
      <c r="D161" s="32"/>
    </row>
    <row r="162" spans="1:4" ht="20.25" x14ac:dyDescent="0.25">
      <c r="A162" s="64"/>
      <c r="B162" s="21"/>
      <c r="C162" s="32"/>
      <c r="D162" s="32"/>
    </row>
    <row r="163" spans="1:4" ht="20.25" x14ac:dyDescent="0.25">
      <c r="A163" s="64"/>
      <c r="B163" s="21"/>
      <c r="C163" s="32"/>
      <c r="D163" s="32"/>
    </row>
    <row r="164" spans="1:4" ht="20.25" x14ac:dyDescent="0.25">
      <c r="A164" s="64"/>
      <c r="B164" s="21"/>
      <c r="C164" s="32"/>
      <c r="D164" s="32"/>
    </row>
    <row r="165" spans="1:4" ht="20.25" x14ac:dyDescent="0.25">
      <c r="A165" s="64"/>
      <c r="B165" s="21"/>
      <c r="C165" s="32"/>
      <c r="D165" s="32"/>
    </row>
    <row r="166" spans="1:4" ht="20.25" x14ac:dyDescent="0.25">
      <c r="A166" s="64"/>
      <c r="B166" s="21"/>
      <c r="C166" s="32"/>
      <c r="D166" s="32"/>
    </row>
    <row r="167" spans="1:4" ht="20.25" x14ac:dyDescent="0.25">
      <c r="A167" s="64"/>
      <c r="B167" s="21"/>
      <c r="C167" s="32"/>
      <c r="D167" s="32"/>
    </row>
    <row r="168" spans="1:4" ht="20.25" x14ac:dyDescent="0.25">
      <c r="A168" s="64"/>
      <c r="B168" s="21"/>
      <c r="C168" s="32"/>
      <c r="D168" s="32"/>
    </row>
    <row r="169" spans="1:4" ht="20.25" x14ac:dyDescent="0.25">
      <c r="A169" s="64"/>
      <c r="B169" s="21"/>
      <c r="C169" s="32"/>
      <c r="D169" s="32"/>
    </row>
    <row r="170" spans="1:4" ht="20.25" x14ac:dyDescent="0.25">
      <c r="A170" s="64"/>
      <c r="B170" s="21"/>
      <c r="C170" s="32"/>
      <c r="D170" s="32"/>
    </row>
    <row r="171" spans="1:4" ht="20.25" x14ac:dyDescent="0.25">
      <c r="A171" s="64"/>
      <c r="B171" s="21"/>
      <c r="C171" s="32"/>
      <c r="D171" s="32"/>
    </row>
    <row r="172" spans="1:4" ht="20.25" x14ac:dyDescent="0.25">
      <c r="A172" s="64"/>
      <c r="B172" s="21"/>
      <c r="C172" s="32"/>
      <c r="D172" s="32"/>
    </row>
    <row r="173" spans="1:4" ht="20.25" x14ac:dyDescent="0.25">
      <c r="A173" s="64"/>
      <c r="B173" s="21"/>
      <c r="C173" s="32"/>
      <c r="D173" s="32"/>
    </row>
    <row r="174" spans="1:4" ht="20.25" x14ac:dyDescent="0.25">
      <c r="A174" s="64"/>
      <c r="B174" s="21"/>
      <c r="C174" s="32"/>
      <c r="D174" s="32"/>
    </row>
    <row r="175" spans="1:4" ht="20.25" x14ac:dyDescent="0.25">
      <c r="A175" s="64"/>
      <c r="B175" s="21"/>
      <c r="C175" s="32"/>
      <c r="D175" s="32"/>
    </row>
    <row r="176" spans="1:4" ht="20.25" x14ac:dyDescent="0.25">
      <c r="A176" s="64"/>
      <c r="B176" s="21"/>
      <c r="C176" s="32"/>
      <c r="D176" s="32"/>
    </row>
    <row r="177" spans="1:4" ht="20.25" x14ac:dyDescent="0.25">
      <c r="A177" s="64"/>
      <c r="B177" s="21"/>
      <c r="C177" s="32"/>
      <c r="D177" s="32"/>
    </row>
    <row r="178" spans="1:4" ht="20.25" x14ac:dyDescent="0.25">
      <c r="A178" s="64"/>
      <c r="B178" s="21"/>
      <c r="C178" s="32"/>
      <c r="D178" s="32"/>
    </row>
    <row r="179" spans="1:4" ht="20.25" x14ac:dyDescent="0.25">
      <c r="A179" s="64"/>
      <c r="B179" s="21"/>
      <c r="C179" s="32"/>
      <c r="D179" s="32"/>
    </row>
    <row r="180" spans="1:4" ht="20.25" x14ac:dyDescent="0.25">
      <c r="A180" s="64"/>
      <c r="B180" s="21"/>
      <c r="C180" s="32"/>
      <c r="D180" s="32"/>
    </row>
    <row r="181" spans="1:4" ht="20.25" x14ac:dyDescent="0.25">
      <c r="A181" s="64"/>
      <c r="B181" s="21"/>
      <c r="C181" s="32"/>
      <c r="D181" s="32"/>
    </row>
    <row r="182" spans="1:4" ht="20.25" x14ac:dyDescent="0.25">
      <c r="A182" s="64"/>
      <c r="B182" s="21"/>
      <c r="C182" s="32"/>
      <c r="D182" s="32"/>
    </row>
    <row r="183" spans="1:4" ht="20.25" x14ac:dyDescent="0.25">
      <c r="A183" s="64"/>
      <c r="B183" s="21"/>
      <c r="C183" s="32"/>
      <c r="D183" s="32"/>
    </row>
    <row r="184" spans="1:4" ht="20.25" x14ac:dyDescent="0.25">
      <c r="A184" s="64"/>
      <c r="B184" s="21"/>
      <c r="C184" s="32"/>
      <c r="D184" s="32"/>
    </row>
    <row r="185" spans="1:4" ht="20.25" x14ac:dyDescent="0.25">
      <c r="A185" s="64"/>
      <c r="B185" s="21"/>
      <c r="C185" s="32"/>
      <c r="D185" s="32"/>
    </row>
    <row r="186" spans="1:4" ht="20.25" x14ac:dyDescent="0.25">
      <c r="A186" s="64"/>
      <c r="B186" s="21"/>
      <c r="C186" s="32"/>
      <c r="D186" s="32"/>
    </row>
    <row r="187" spans="1:4" ht="20.25" x14ac:dyDescent="0.25">
      <c r="A187" s="64"/>
      <c r="B187" s="21"/>
      <c r="C187" s="32"/>
      <c r="D187" s="32"/>
    </row>
    <row r="188" spans="1:4" ht="20.25" x14ac:dyDescent="0.25">
      <c r="A188" s="64"/>
      <c r="B188" s="21"/>
      <c r="C188" s="32"/>
      <c r="D188" s="32"/>
    </row>
    <row r="189" spans="1:4" ht="20.25" x14ac:dyDescent="0.25">
      <c r="A189" s="64"/>
      <c r="B189" s="21"/>
      <c r="C189" s="32"/>
      <c r="D189" s="32"/>
    </row>
    <row r="190" spans="1:4" ht="20.25" x14ac:dyDescent="0.25">
      <c r="A190" s="64"/>
      <c r="B190" s="21"/>
      <c r="C190" s="32"/>
      <c r="D190" s="32"/>
    </row>
    <row r="191" spans="1:4" ht="20.25" x14ac:dyDescent="0.25">
      <c r="A191" s="64"/>
      <c r="B191" s="21"/>
      <c r="C191" s="32"/>
      <c r="D191" s="32"/>
    </row>
    <row r="192" spans="1:4" ht="20.25" x14ac:dyDescent="0.25">
      <c r="A192" s="64"/>
      <c r="B192" s="21"/>
      <c r="C192" s="32"/>
      <c r="D192" s="32"/>
    </row>
    <row r="193" spans="1:4" ht="20.25" x14ac:dyDescent="0.25">
      <c r="A193" s="64"/>
      <c r="B193" s="21"/>
      <c r="C193" s="32"/>
      <c r="D193" s="32"/>
    </row>
    <row r="194" spans="1:4" ht="20.25" x14ac:dyDescent="0.25">
      <c r="A194" s="64"/>
      <c r="B194" s="21"/>
      <c r="C194" s="32"/>
      <c r="D194" s="32"/>
    </row>
    <row r="195" spans="1:4" ht="20.25" x14ac:dyDescent="0.25">
      <c r="A195" s="64"/>
      <c r="B195" s="21"/>
      <c r="C195" s="32"/>
      <c r="D195" s="32"/>
    </row>
    <row r="196" spans="1:4" ht="20.25" x14ac:dyDescent="0.25">
      <c r="A196" s="64"/>
      <c r="B196" s="21"/>
      <c r="C196" s="32"/>
      <c r="D196" s="32"/>
    </row>
    <row r="197" spans="1:4" ht="20.25" x14ac:dyDescent="0.25">
      <c r="A197" s="64"/>
      <c r="B197" s="21"/>
      <c r="C197" s="32"/>
      <c r="D197" s="32"/>
    </row>
    <row r="198" spans="1:4" ht="20.25" x14ac:dyDescent="0.25">
      <c r="A198" s="64"/>
      <c r="B198" s="21"/>
      <c r="C198" s="32"/>
      <c r="D198" s="32"/>
    </row>
    <row r="199" spans="1:4" ht="20.25" x14ac:dyDescent="0.25">
      <c r="A199" s="64"/>
      <c r="B199" s="21"/>
      <c r="C199" s="32"/>
      <c r="D199" s="32"/>
    </row>
    <row r="200" spans="1:4" ht="20.25" x14ac:dyDescent="0.25">
      <c r="A200" s="64"/>
      <c r="B200" s="21"/>
      <c r="C200" s="32"/>
      <c r="D200" s="32"/>
    </row>
    <row r="201" spans="1:4" ht="20.25" x14ac:dyDescent="0.25">
      <c r="A201" s="64"/>
      <c r="B201" s="21"/>
      <c r="C201" s="32"/>
      <c r="D201" s="32"/>
    </row>
    <row r="202" spans="1:4" ht="20.25" x14ac:dyDescent="0.25">
      <c r="A202" s="64"/>
      <c r="B202" s="21"/>
      <c r="C202" s="32"/>
      <c r="D202" s="32"/>
    </row>
    <row r="203" spans="1:4" ht="20.25" x14ac:dyDescent="0.25">
      <c r="A203" s="64"/>
      <c r="B203" s="21"/>
      <c r="C203" s="32"/>
      <c r="D203" s="32"/>
    </row>
    <row r="204" spans="1:4" ht="20.25" x14ac:dyDescent="0.25">
      <c r="A204" s="64"/>
      <c r="B204" s="21"/>
      <c r="C204" s="32"/>
      <c r="D204" s="32"/>
    </row>
    <row r="205" spans="1:4" ht="20.25" x14ac:dyDescent="0.25">
      <c r="A205" s="64"/>
      <c r="B205" s="21"/>
      <c r="C205" s="32"/>
      <c r="D205" s="32"/>
    </row>
    <row r="206" spans="1:4" ht="20.25" x14ac:dyDescent="0.25">
      <c r="A206" s="64"/>
      <c r="B206" s="21"/>
      <c r="C206" s="32"/>
      <c r="D206" s="32"/>
    </row>
    <row r="207" spans="1:4" ht="20.25" x14ac:dyDescent="0.25">
      <c r="A207" s="64"/>
      <c r="B207" s="21"/>
      <c r="C207" s="32"/>
      <c r="D207" s="32"/>
    </row>
    <row r="208" spans="1:4" x14ac:dyDescent="0.25">
      <c r="A208" s="44"/>
      <c r="B208" s="21"/>
      <c r="C208" s="21"/>
      <c r="D208" s="21"/>
    </row>
    <row r="209" spans="1:8" ht="20.25" x14ac:dyDescent="0.25">
      <c r="A209" s="44"/>
      <c r="B209" s="28" t="s">
        <v>87</v>
      </c>
      <c r="C209" s="28" t="s">
        <v>143</v>
      </c>
      <c r="D209" s="31" t="s">
        <v>87</v>
      </c>
      <c r="E209" s="31" t="s">
        <v>143</v>
      </c>
    </row>
    <row r="210" spans="1:8" ht="21" x14ac:dyDescent="0.35">
      <c r="A210" s="44"/>
      <c r="B210" s="29" t="s">
        <v>89</v>
      </c>
      <c r="C210" s="29" t="s">
        <v>57</v>
      </c>
      <c r="D210" t="s">
        <v>89</v>
      </c>
      <c r="F210" t="str">
        <f>IF(NOT(ISBLANK(D210)),D210,IF(NOT(ISBLANK(E210)),"     "&amp;E210,FALSE))</f>
        <v>Afectación Económica o presupuestal</v>
      </c>
      <c r="G210" t="s">
        <v>89</v>
      </c>
      <c r="H210" t="str">
        <f ca="1">IF(NOT(ISERROR(MATCH(G210,_xlfn.ANCHORARRAY(B221),0))),F223&amp;"Por favor no seleccionar los criterios de impacto",G210)</f>
        <v>Afectación Económica o presupuestal</v>
      </c>
    </row>
    <row r="211" spans="1:8" ht="21" x14ac:dyDescent="0.35">
      <c r="A211" s="44"/>
      <c r="B211" s="29" t="s">
        <v>89</v>
      </c>
      <c r="C211" s="29" t="s">
        <v>92</v>
      </c>
      <c r="E211" t="s">
        <v>57</v>
      </c>
      <c r="F211" t="str">
        <f t="shared" ref="F211:F221" si="0">IF(NOT(ISBLANK(D211)),D211,IF(NOT(ISBLANK(E211)),"     "&amp;E211,FALSE))</f>
        <v xml:space="preserve">     Afectación menor a 10 SMLMV .</v>
      </c>
    </row>
    <row r="212" spans="1:8" ht="21" x14ac:dyDescent="0.35">
      <c r="A212" s="44"/>
      <c r="B212" s="29" t="s">
        <v>89</v>
      </c>
      <c r="C212" s="29" t="s">
        <v>93</v>
      </c>
      <c r="E212" t="s">
        <v>92</v>
      </c>
      <c r="F212" t="str">
        <f t="shared" si="0"/>
        <v xml:space="preserve">     Entre 10 y 50 SMLMV </v>
      </c>
    </row>
    <row r="213" spans="1:8" ht="21" x14ac:dyDescent="0.35">
      <c r="A213" s="44"/>
      <c r="B213" s="29" t="s">
        <v>89</v>
      </c>
      <c r="C213" s="29" t="s">
        <v>94</v>
      </c>
      <c r="E213" t="s">
        <v>93</v>
      </c>
      <c r="F213" t="str">
        <f t="shared" si="0"/>
        <v xml:space="preserve">     Entre 50 y 100 SMLMV </v>
      </c>
    </row>
    <row r="214" spans="1:8" ht="21" x14ac:dyDescent="0.35">
      <c r="A214" s="44"/>
      <c r="B214" s="29" t="s">
        <v>89</v>
      </c>
      <c r="C214" s="29" t="s">
        <v>95</v>
      </c>
      <c r="E214" t="s">
        <v>94</v>
      </c>
      <c r="F214" t="str">
        <f t="shared" si="0"/>
        <v xml:space="preserve">     Entre 100 y 500 SMLMV </v>
      </c>
    </row>
    <row r="215" spans="1:8" ht="21" x14ac:dyDescent="0.35">
      <c r="A215" s="44"/>
      <c r="B215" s="29" t="s">
        <v>56</v>
      </c>
      <c r="C215" s="29" t="s">
        <v>96</v>
      </c>
      <c r="E215" t="s">
        <v>95</v>
      </c>
      <c r="F215" t="str">
        <f t="shared" si="0"/>
        <v xml:space="preserve">     Mayor a 500 SMLMV </v>
      </c>
    </row>
    <row r="216" spans="1:8" ht="21" x14ac:dyDescent="0.35">
      <c r="A216" s="44"/>
      <c r="B216" s="29" t="s">
        <v>56</v>
      </c>
      <c r="C216" s="29" t="s">
        <v>97</v>
      </c>
      <c r="D216" t="s">
        <v>56</v>
      </c>
      <c r="F216" t="str">
        <f t="shared" si="0"/>
        <v>Pérdida Reputacional</v>
      </c>
    </row>
    <row r="217" spans="1:8" ht="21" x14ac:dyDescent="0.35">
      <c r="A217" s="44"/>
      <c r="B217" s="29" t="s">
        <v>56</v>
      </c>
      <c r="C217" s="29" t="s">
        <v>99</v>
      </c>
      <c r="E217" t="s">
        <v>96</v>
      </c>
      <c r="F217" t="str">
        <f t="shared" si="0"/>
        <v xml:space="preserve">     El riesgo afecta la imagen de alguna área de la organización</v>
      </c>
    </row>
    <row r="218" spans="1:8" ht="21" x14ac:dyDescent="0.35">
      <c r="A218" s="44"/>
      <c r="B218" s="29" t="s">
        <v>56</v>
      </c>
      <c r="C218" s="29" t="s">
        <v>98</v>
      </c>
      <c r="E218" t="s">
        <v>97</v>
      </c>
      <c r="F218" t="str">
        <f t="shared" si="0"/>
        <v xml:space="preserve">     El riesgo afecta la imagen de la entidad internamente, de conocimiento general, nivel interno, de junta dircetiva y accionistas y/o de provedores</v>
      </c>
    </row>
    <row r="219" spans="1:8" ht="21" x14ac:dyDescent="0.35">
      <c r="A219" s="44"/>
      <c r="B219" s="29" t="s">
        <v>56</v>
      </c>
      <c r="C219" s="29" t="s">
        <v>117</v>
      </c>
      <c r="E219" t="s">
        <v>99</v>
      </c>
      <c r="F219" t="str">
        <f t="shared" si="0"/>
        <v xml:space="preserve">     El riesgo afecta la imagen de la entidad con algunos usuarios de relevancia frente al logro de los objetivos</v>
      </c>
    </row>
    <row r="220" spans="1:8" x14ac:dyDescent="0.25">
      <c r="A220" s="44"/>
      <c r="B220" s="30"/>
      <c r="C220" s="30"/>
      <c r="E220" t="s">
        <v>98</v>
      </c>
      <c r="F220" t="str">
        <f t="shared" si="0"/>
        <v xml:space="preserve">     El riesgo afecta la imagen de de la entidad con efecto publicitario sostenido a nivel de sector administrativo, nivel departamental o municipal</v>
      </c>
    </row>
    <row r="221" spans="1:8" x14ac:dyDescent="0.25">
      <c r="A221" s="44"/>
      <c r="B221" s="30" t="e" cm="1">
        <f t="array" aca="1" ref="B221:B223" ca="1">_xlfn.UNIQUE(Tabla1[[#All],[Criterios]])</f>
        <v>#NAME?</v>
      </c>
      <c r="C221" s="30"/>
      <c r="E221" t="s">
        <v>117</v>
      </c>
      <c r="F221" t="str">
        <f t="shared" si="0"/>
        <v xml:space="preserve">     El riesgo afecta la imagen de la entidad a nivel nacional, con efecto publicitarios sostenible a nivel país</v>
      </c>
    </row>
    <row r="222" spans="1:8" x14ac:dyDescent="0.25">
      <c r="A222" s="44"/>
      <c r="B222" s="30" t="e">
        <f ca="1"/>
        <v>#NAME?</v>
      </c>
      <c r="C222" s="30"/>
    </row>
    <row r="223" spans="1:8" x14ac:dyDescent="0.25">
      <c r="B223" s="30" t="e">
        <f ca="1"/>
        <v>#NAME?</v>
      </c>
      <c r="C223" s="30"/>
      <c r="F223" s="33" t="s">
        <v>145</v>
      </c>
    </row>
    <row r="224" spans="1:8" x14ac:dyDescent="0.25">
      <c r="B224" s="20"/>
      <c r="C224" s="20"/>
      <c r="F224" s="33" t="s">
        <v>146</v>
      </c>
    </row>
    <row r="225" spans="2:4" x14ac:dyDescent="0.25">
      <c r="B225" s="20"/>
      <c r="C225" s="20"/>
    </row>
    <row r="226" spans="2:4" x14ac:dyDescent="0.25">
      <c r="B226" s="20"/>
      <c r="C226" s="20"/>
    </row>
    <row r="227" spans="2:4" x14ac:dyDescent="0.25">
      <c r="B227" s="20"/>
      <c r="C227" s="20"/>
      <c r="D227" s="20"/>
    </row>
    <row r="228" spans="2:4" x14ac:dyDescent="0.25">
      <c r="B228" s="20"/>
      <c r="C228" s="20"/>
      <c r="D228" s="20"/>
    </row>
    <row r="229" spans="2:4" x14ac:dyDescent="0.25">
      <c r="B229" s="20"/>
      <c r="C229" s="20"/>
      <c r="D229" s="20"/>
    </row>
    <row r="230" spans="2:4" x14ac:dyDescent="0.25">
      <c r="B230" s="20"/>
      <c r="C230" s="20"/>
      <c r="D230" s="20"/>
    </row>
    <row r="231" spans="2:4" x14ac:dyDescent="0.25">
      <c r="B231" s="20"/>
      <c r="C231" s="20"/>
      <c r="D231" s="20"/>
    </row>
    <row r="232" spans="2:4" x14ac:dyDescent="0.25">
      <c r="B232" s="20"/>
      <c r="C232" s="20"/>
      <c r="D232" s="20"/>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10" workbookViewId="0">
      <selection activeCell="F27" sqref="F27"/>
    </sheetView>
  </sheetViews>
  <sheetFormatPr baseColWidth="10" defaultColWidth="14.28515625" defaultRowHeight="12.75" x14ac:dyDescent="0.2"/>
  <cols>
    <col min="1" max="2" width="14.28515625" style="49"/>
    <col min="3" max="3" width="17" style="49" customWidth="1"/>
    <col min="4" max="4" width="14.28515625" style="49"/>
    <col min="5" max="5" width="46" style="49" customWidth="1"/>
    <col min="6" max="16384" width="14.28515625" style="49"/>
  </cols>
  <sheetData>
    <row r="1" spans="2:6" ht="24" customHeight="1" thickBot="1" x14ac:dyDescent="0.25">
      <c r="B1" s="393" t="s">
        <v>77</v>
      </c>
      <c r="C1" s="394"/>
      <c r="D1" s="394"/>
      <c r="E1" s="394"/>
      <c r="F1" s="395"/>
    </row>
    <row r="2" spans="2:6" ht="16.5" thickBot="1" x14ac:dyDescent="0.3">
      <c r="B2" s="50"/>
      <c r="C2" s="50"/>
      <c r="D2" s="50"/>
      <c r="E2" s="50"/>
      <c r="F2" s="50"/>
    </row>
    <row r="3" spans="2:6" ht="16.5" thickBot="1" x14ac:dyDescent="0.25">
      <c r="B3" s="397" t="s">
        <v>63</v>
      </c>
      <c r="C3" s="398"/>
      <c r="D3" s="398"/>
      <c r="E3" s="62" t="s">
        <v>64</v>
      </c>
      <c r="F3" s="63" t="s">
        <v>65</v>
      </c>
    </row>
    <row r="4" spans="2:6" ht="31.5" x14ac:dyDescent="0.2">
      <c r="B4" s="399" t="s">
        <v>66</v>
      </c>
      <c r="C4" s="401" t="s">
        <v>13</v>
      </c>
      <c r="D4" s="51" t="s">
        <v>14</v>
      </c>
      <c r="E4" s="52" t="s">
        <v>67</v>
      </c>
      <c r="F4" s="53">
        <v>0.25</v>
      </c>
    </row>
    <row r="5" spans="2:6" ht="47.25" x14ac:dyDescent="0.2">
      <c r="B5" s="400"/>
      <c r="C5" s="402"/>
      <c r="D5" s="54" t="s">
        <v>15</v>
      </c>
      <c r="E5" s="55" t="s">
        <v>68</v>
      </c>
      <c r="F5" s="56">
        <v>0.15</v>
      </c>
    </row>
    <row r="6" spans="2:6" ht="47.25" x14ac:dyDescent="0.2">
      <c r="B6" s="400"/>
      <c r="C6" s="402"/>
      <c r="D6" s="54" t="s">
        <v>16</v>
      </c>
      <c r="E6" s="55" t="s">
        <v>69</v>
      </c>
      <c r="F6" s="56">
        <v>0.1</v>
      </c>
    </row>
    <row r="7" spans="2:6" ht="63" x14ac:dyDescent="0.2">
      <c r="B7" s="400"/>
      <c r="C7" s="402" t="s">
        <v>17</v>
      </c>
      <c r="D7" s="54" t="s">
        <v>10</v>
      </c>
      <c r="E7" s="55" t="s">
        <v>70</v>
      </c>
      <c r="F7" s="56">
        <v>0.25</v>
      </c>
    </row>
    <row r="8" spans="2:6" ht="31.5" x14ac:dyDescent="0.2">
      <c r="B8" s="400"/>
      <c r="C8" s="402"/>
      <c r="D8" s="54" t="s">
        <v>9</v>
      </c>
      <c r="E8" s="55" t="s">
        <v>71</v>
      </c>
      <c r="F8" s="56">
        <v>0.15</v>
      </c>
    </row>
    <row r="9" spans="2:6" ht="47.25" x14ac:dyDescent="0.2">
      <c r="B9" s="400" t="s">
        <v>159</v>
      </c>
      <c r="C9" s="402" t="s">
        <v>18</v>
      </c>
      <c r="D9" s="54" t="s">
        <v>19</v>
      </c>
      <c r="E9" s="55" t="s">
        <v>72</v>
      </c>
      <c r="F9" s="57" t="s">
        <v>73</v>
      </c>
    </row>
    <row r="10" spans="2:6" ht="63" x14ac:dyDescent="0.2">
      <c r="B10" s="400"/>
      <c r="C10" s="402"/>
      <c r="D10" s="54" t="s">
        <v>20</v>
      </c>
      <c r="E10" s="55" t="s">
        <v>74</v>
      </c>
      <c r="F10" s="57" t="s">
        <v>73</v>
      </c>
    </row>
    <row r="11" spans="2:6" ht="47.25" x14ac:dyDescent="0.2">
      <c r="B11" s="400"/>
      <c r="C11" s="402" t="s">
        <v>21</v>
      </c>
      <c r="D11" s="54" t="s">
        <v>22</v>
      </c>
      <c r="E11" s="55" t="s">
        <v>75</v>
      </c>
      <c r="F11" s="57" t="s">
        <v>73</v>
      </c>
    </row>
    <row r="12" spans="2:6" ht="47.25" x14ac:dyDescent="0.2">
      <c r="B12" s="400"/>
      <c r="C12" s="402"/>
      <c r="D12" s="54" t="s">
        <v>23</v>
      </c>
      <c r="E12" s="55" t="s">
        <v>76</v>
      </c>
      <c r="F12" s="57" t="s">
        <v>73</v>
      </c>
    </row>
    <row r="13" spans="2:6" ht="31.5" x14ac:dyDescent="0.2">
      <c r="B13" s="400"/>
      <c r="C13" s="402" t="s">
        <v>24</v>
      </c>
      <c r="D13" s="54" t="s">
        <v>118</v>
      </c>
      <c r="E13" s="55" t="s">
        <v>121</v>
      </c>
      <c r="F13" s="57" t="s">
        <v>73</v>
      </c>
    </row>
    <row r="14" spans="2:6" ht="32.25" thickBot="1" x14ac:dyDescent="0.25">
      <c r="B14" s="403"/>
      <c r="C14" s="404"/>
      <c r="D14" s="58" t="s">
        <v>119</v>
      </c>
      <c r="E14" s="59" t="s">
        <v>120</v>
      </c>
      <c r="F14" s="60" t="s">
        <v>73</v>
      </c>
    </row>
    <row r="15" spans="2:6" ht="49.5" customHeight="1" x14ac:dyDescent="0.2">
      <c r="B15" s="396" t="s">
        <v>157</v>
      </c>
      <c r="C15" s="396"/>
      <c r="D15" s="396"/>
      <c r="E15" s="396"/>
      <c r="F15" s="396"/>
    </row>
    <row r="16" spans="2:6" ht="27" customHeight="1" x14ac:dyDescent="0.25">
      <c r="B16" s="6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F24" sqref="F24"/>
    </sheetView>
  </sheetViews>
  <sheetFormatPr baseColWidth="10" defaultRowHeight="15" x14ac:dyDescent="0.25"/>
  <sheetData>
    <row r="2" spans="2:5" x14ac:dyDescent="0.25">
      <c r="B2" t="s">
        <v>31</v>
      </c>
      <c r="E2" t="s">
        <v>132</v>
      </c>
    </row>
    <row r="3" spans="2:5" x14ac:dyDescent="0.25">
      <c r="B3" t="s">
        <v>32</v>
      </c>
      <c r="E3" t="s">
        <v>131</v>
      </c>
    </row>
    <row r="4" spans="2:5" x14ac:dyDescent="0.25">
      <c r="B4" t="s">
        <v>136</v>
      </c>
      <c r="E4" t="s">
        <v>133</v>
      </c>
    </row>
    <row r="5" spans="2:5" x14ac:dyDescent="0.25">
      <c r="B5" t="s">
        <v>135</v>
      </c>
    </row>
    <row r="8" spans="2:5" x14ac:dyDescent="0.25">
      <c r="B8" t="s">
        <v>85</v>
      </c>
    </row>
    <row r="9" spans="2:5" x14ac:dyDescent="0.25">
      <c r="B9" t="s">
        <v>39</v>
      </c>
    </row>
    <row r="10" spans="2:5" x14ac:dyDescent="0.25">
      <c r="B10" t="s">
        <v>40</v>
      </c>
    </row>
    <row r="13" spans="2:5" x14ac:dyDescent="0.25">
      <c r="B13" t="s">
        <v>128</v>
      </c>
    </row>
    <row r="14" spans="2:5" x14ac:dyDescent="0.25">
      <c r="B14" t="s">
        <v>122</v>
      </c>
    </row>
    <row r="15" spans="2:5" x14ac:dyDescent="0.25">
      <c r="B15" t="s">
        <v>125</v>
      </c>
    </row>
    <row r="16" spans="2:5" x14ac:dyDescent="0.25">
      <c r="B16" t="s">
        <v>123</v>
      </c>
    </row>
    <row r="17" spans="2:2" x14ac:dyDescent="0.25">
      <c r="B17" t="s">
        <v>124</v>
      </c>
    </row>
    <row r="18" spans="2:2" x14ac:dyDescent="0.25">
      <c r="B18" t="s">
        <v>126</v>
      </c>
    </row>
    <row r="19" spans="2:2" x14ac:dyDescent="0.25">
      <c r="B19" t="s">
        <v>127</v>
      </c>
    </row>
  </sheetData>
  <sortState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vt:lpstr>
      <vt:lpstr>Matriz final</vt:lpstr>
      <vt:lpstr>MAPA DE RIESGO INHERENTE</vt:lpstr>
      <vt:lpstr>Matriz Calor Inherente</vt:lpstr>
      <vt:lpstr>MAPA DE RIESGO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PLANEACION25</cp:lastModifiedBy>
  <cp:lastPrinted>2021-03-15T12:50:30Z</cp:lastPrinted>
  <dcterms:created xsi:type="dcterms:W3CDTF">2020-03-24T23:12:47Z</dcterms:created>
  <dcterms:modified xsi:type="dcterms:W3CDTF">2025-06-09T16:41:42Z</dcterms:modified>
</cp:coreProperties>
</file>